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codeName="ThisWorkbook" hidePivotFieldList="1"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<sst xmlns="http://schemas.openxmlformats.org/spreadsheetml/2006/main" count="6133" uniqueCount="1634">
  <si>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</si>
  <si>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</si>
  <si>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</si>
  <si>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</si>
  <si>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</si>
  <si>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</si>
  <si>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</si>
  <si>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</si>
  <si>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</si>
  <si>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</si>
  <si>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</si>
  <si>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</si>
  <si>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</si>
  <si>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</si>
  <si>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</si>
  <si>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</si>
  <si>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</si>
  <si>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</si>
  <si>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</si>
  <si>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</si>
  <si>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</si>
  <si>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</si>
  <si>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</si>
  <si>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</si>
  <si>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</si>
  <si>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</si>
  <si>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</si>
  <si>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</si>
  <si>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</si>
  <si>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</si>
  <si>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</si>
  <si>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</si>
  <si>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</si>
  <si>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</si>
  <si>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</si>
  <si>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</si>
  <si>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</si>
  <si>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</si>
  <si>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</si>
  <si>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</si>
  <si>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</si>
  <si>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</si>
  <si>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</si>
  <si>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</si>
  <si>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</si>
  <si>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</si>
  <si>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</si>
  <si>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</si>
  <si>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</si>
  <si>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</si>
  <si>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</si>
  <si>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</si>
  <si>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</si>
  <si>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</si>
  <si>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</si>
  <si>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</si>
  <si>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</si>
  <si>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</si>
  <si>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</si>
  <si>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</si>
  <si>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</si>
  <si>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</si>
  <si>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</si>
  <si>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</si>
  <si>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</si>
  <si>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</si>
  <si>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</si>
  <si>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</si>
  <si>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</si>
  <si>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</si>
  <si>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</si>
  <si>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</si>
  <si>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</si>
  <si>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</si>
  <si>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</si>
  <si>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</si>
  <si>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</si>
  <si>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</si>
  <si>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</si>
  <si>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</si>
  <si>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</si>
  <si>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</si>
  <si>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</si>
  <si>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</si>
  <si>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</si>
  <si>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</si>
  <si>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</si>
  <si>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</si>
  <si>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</si>
  <si>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</si>
  <si>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</si>
  <si>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</si>
  <si>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</si>
  <si>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</si>
  <si>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</si>
  <si>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</si>
  <si>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</si>
  <si>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</si>
  <si>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</si>
  <si>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</si>
  <si>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</si>
  <si>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</si>
  <si>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</si>
  <si>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</si>
  <si>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</si>
  <si>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</si>
  <si>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</si>
  <si>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</si>
  <si>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</si>
  <si>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</si>
  <si>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</si>
  <si>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</si>
  <si>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</si>
  <si>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</si>
  <si>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</si>
  <si>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</si>
  <si>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</si>
  <si>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</si>
  <si>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</si>
  <si>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</si>
  <si>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</si>
  <si>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</si>
  <si>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</si>
  <si>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</si>
  <si>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</si>
  <si>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</si>
  <si>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</si>
  <si>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</si>
  <si>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</si>
  <si>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</si>
  <si>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</si>
  <si>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</si>
  <si>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</si>
  <si>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</si>
  <si>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</si>
  <si>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</si>
  <si>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</si>
  <si>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</si>
  <si>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</si>
  <si>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</si>
  <si>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</si>
  <si>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</si>
  <si>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</si>
  <si>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</si>
  <si>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</si>
  <si>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</si>
  <si>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</si>
  <si>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</si>
  <si>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</si>
  <si>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</si>
  <si>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</si>
  <si>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</si>
  <si>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</si>
  <si>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</si>
  <si>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</si>
  <si>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</si>
  <si>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</si>
  <si>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</si>
  <si>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</si>
  <si>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</si>
  <si>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</si>
  <si>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</si>
  <si>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</si>
  <si>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</si>
  <si>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</si>
  <si>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</si>
  <si>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</si>
  <si>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</si>
  <si>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</si>
  <si>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</si>
  <si>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</si>
  <si>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</si>
  <si>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</si>
  <si>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</si>
  <si>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</si>
  <si>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</si>
  <si>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</si>
  <si>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</si>
  <si>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</si>
  <si>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</si>
  <si>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</si>
  <si>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</si>
  <si>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</si>
  <si>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</si>
  <si>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</si>
  <si>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</si>
  <si>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</si>
  <si>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</si>
  <si>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</si>
  <si>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</si>
  <si>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</si>
  <si>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</si>
  <si>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</si>
  <si>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</si>
  <si>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</si>
  <si>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</si>
  <si>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</si>
  <si>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</si>
  <si>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</si>
  <si>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</si>
  <si>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</si>
  <si>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</si>
  <si>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</si>
  <si>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</si>
  <si>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</si>
  <si>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</si>
  <si>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</si>
  <si>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</si>
  <si>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</si>
  <si>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</si>
  <si>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</si>
  <si>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</si>
  <si>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</si>
  <si>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</si>
  <si>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</si>
  <si>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</si>
  <si>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</si>
  <si>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</si>
  <si>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</si>
  <si>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</si>
  <si>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</si>
  <si>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</si>
  <si>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</si>
  <si>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</si>
  <si>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</si>
  <si>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</si>
  <si>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</si>
  <si>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</si>
  <si>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</si>
  <si>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</si>
  <si>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</si>
  <si>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</si>
  <si>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</si>
  <si>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</si>
  <si>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</si>
  <si>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</si>
  <si>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</si>
  <si>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</si>
  <si>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</si>
  <si>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</si>
  <si>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</si>
  <si>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</si>
  <si>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</si>
  <si>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</si>
  <si>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</si>
  <si>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</si>
  <si>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Workbook Settings Cell Count</t>
  </si>
  <si>
    <t>Directed</t>
  </si>
  <si>
    <t>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t>
  </si>
  <si>
    <t>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t>
  </si>
  <si>
    <t>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t>
  </si>
  <si>
    <t>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t>
  </si>
  <si>
    <t xml:space="preserve">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t>
  </si>
  <si>
    <t xml:space="preserv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t>
  </si>
  <si>
    <t xml:space="preserve">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t>
  </si>
  <si>
    <t>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t>
  </si>
  <si>
    <t xml:space="preserv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t>
  </si>
  <si>
    <t>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t>
  </si>
  <si>
    <t>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t>
  </si>
  <si>
    <t>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t>
  </si>
  <si>
    <t>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t>
  </si>
  <si>
    <t>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t>
  </si>
  <si>
    <t>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t>
  </si>
  <si>
    <t>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t>
  </si>
  <si>
    <t xml:space="preserve">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t>
  </si>
  <si>
    <t>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t>
  </si>
  <si>
    <t>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t>
  </si>
  <si>
    <t>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t>
  </si>
  <si>
    <t>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t>
  </si>
  <si>
    <t>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t>
  </si>
  <si>
    <t>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t>
  </si>
  <si>
    <t>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t>
  </si>
  <si>
    <t xml:space="preserve">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t>
  </si>
  <si>
    <t>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t>
  </si>
  <si>
    <t>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t>
  </si>
  <si>
    <t>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t>
  </si>
  <si>
    <t>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t>
  </si>
  <si>
    <t>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t>
  </si>
  <si>
    <t>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t>
  </si>
  <si>
    <t>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
  </si>
  <si>
    <t>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t>
  </si>
  <si>
    <t xml:space="preserv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t>
  </si>
  <si>
    <t>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t>
  </si>
  <si>
    <t>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t>
  </si>
  <si>
    <t>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t>
  </si>
  <si>
    <t>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t>
  </si>
  <si>
    <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t>
  </si>
  <si>
    <t>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t>
  </si>
  <si>
    <t>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t>
  </si>
  <si>
    <t xml:space="preserve">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t>
  </si>
  <si>
    <t>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t>
  </si>
  <si>
    <t>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t>
  </si>
  <si>
    <t xml:space="preserve">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t>
  </si>
  <si>
    <t>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
  </si>
  <si>
    <t>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
  </si>
  <si>
    <t>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t>
  </si>
  <si>
    <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t>
  </si>
  <si>
    <t>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t>
  </si>
  <si>
    <t>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t>
  </si>
  <si>
    <t>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zwingen▓SentimentWordsInList3░kill▓AddVertexContent░False▓AddWordList░False&lt;/value&gt;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t>
  </si>
  <si>
    <t xml:space="preserve">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Disk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t>
  </si>
  <si>
    <t xml:space="preserve">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t>
  </si>
  <si>
    <t>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</si>
  <si>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</si>
  <si>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</si>
  <si>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</si>
  <si>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</si>
  <si>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</si>
  <si>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</si>
  <si>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</si>
  <si>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</si>
  <si>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</si>
  <si>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</si>
  <si>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</si>
  <si>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</si>
  <si>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</si>
  <si>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</si>
  <si>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Publishet At</t>
  </si>
  <si>
    <t>Updated At</t>
  </si>
  <si>
    <t>URLs In Comment</t>
  </si>
  <si>
    <t>Domains In Comment</t>
  </si>
  <si>
    <t>Hashtags In Comment</t>
  </si>
  <si>
    <t>Replied Comment</t>
  </si>
  <si>
    <t>Commented Video</t>
  </si>
  <si>
    <t>Reply</t>
  </si>
  <si>
    <t>lol</t>
  </si>
  <si>
    <t>none</t>
  </si>
  <si>
    <t>Title</t>
  </si>
  <si>
    <t>Description</t>
  </si>
  <si>
    <t>Custom URL</t>
  </si>
  <si>
    <t>Published At</t>
  </si>
  <si>
    <t>Thumbnail</t>
  </si>
  <si>
    <t>View Count</t>
  </si>
  <si>
    <t>Comment Count</t>
  </si>
  <si>
    <t>Subscriber Count</t>
  </si>
  <si>
    <t>Hidden Subscriber Count</t>
  </si>
  <si>
    <t>Video Count</t>
  </si>
  <si>
    <t>Content Owner</t>
  </si>
  <si>
    <t>Time Linked</t>
  </si>
  <si>
    <t>Custom Menu Item Text</t>
  </si>
  <si>
    <t>Custom Menu Item Action</t>
  </si>
  <si>
    <t>Open Channel URL in Browser</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</si>
  <si>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</si>
  <si>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</si>
  <si>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</si>
  <si>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</si>
  <si>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</si>
  <si>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</si>
  <si>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</si>
  <si>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</si>
  <si>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</si>
  <si>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</si>
  <si>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</si>
  <si>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</si>
  <si>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</si>
  <si>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</si>
  <si>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</si>
  <si>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</si>
  <si>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</si>
  <si>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</si>
  <si>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</si>
  <si>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</si>
  <si>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</si>
  <si>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</si>
  <si>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</si>
  <si>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</si>
  <si>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</si>
  <si>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</si>
  <si>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</si>
  <si>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</si>
  <si>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</si>
  <si>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</si>
  <si>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</si>
  <si>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people</t>
  </si>
  <si>
    <t>trump</t>
  </si>
  <si>
    <t>time</t>
  </si>
  <si>
    <t>stay</t>
  </si>
  <si>
    <t>love</t>
  </si>
  <si>
    <t>hope</t>
  </si>
  <si>
    <t>toilet</t>
  </si>
  <si>
    <t>paper</t>
  </si>
  <si>
    <t>safe</t>
  </si>
  <si>
    <t>yeah</t>
  </si>
  <si>
    <t>food</t>
  </si>
  <si>
    <t>country</t>
  </si>
  <si>
    <t>feel</t>
  </si>
  <si>
    <t>family</t>
  </si>
  <si>
    <t>pandemic</t>
  </si>
  <si>
    <t>true</t>
  </si>
  <si>
    <t>bad</t>
  </si>
  <si>
    <t>life</t>
  </si>
  <si>
    <t>live</t>
  </si>
  <si>
    <t>americans</t>
  </si>
  <si>
    <t>president</t>
  </si>
  <si>
    <t>guy</t>
  </si>
  <si>
    <t>20</t>
  </si>
  <si>
    <t>times</t>
  </si>
  <si>
    <t>hear</t>
  </si>
  <si>
    <t>hand</t>
  </si>
  <si>
    <t>thinking</t>
  </si>
  <si>
    <t>lot</t>
  </si>
  <si>
    <t>10</t>
  </si>
  <si>
    <t>called</t>
  </si>
  <si>
    <t>america</t>
  </si>
  <si>
    <t>bit</t>
  </si>
  <si>
    <t>money</t>
  </si>
  <si>
    <t>agree</t>
  </si>
  <si>
    <t>law</t>
  </si>
  <si>
    <t>pretty</t>
  </si>
  <si>
    <t>common</t>
  </si>
  <si>
    <t>human</t>
  </si>
  <si>
    <t>months</t>
  </si>
  <si>
    <t>start</t>
  </si>
  <si>
    <t>person</t>
  </si>
  <si>
    <t>sick</t>
  </si>
  <si>
    <t>hard</t>
  </si>
  <si>
    <t>store</t>
  </si>
  <si>
    <t>care</t>
  </si>
  <si>
    <t>gonna</t>
  </si>
  <si>
    <t>wait</t>
  </si>
  <si>
    <t>mom</t>
  </si>
  <si>
    <t>vote</t>
  </si>
  <si>
    <t>stupid</t>
  </si>
  <si>
    <t>wrong</t>
  </si>
  <si>
    <t>read</t>
  </si>
  <si>
    <t>shit</t>
  </si>
  <si>
    <t>leave</t>
  </si>
  <si>
    <t>month</t>
  </si>
  <si>
    <t>public</t>
  </si>
  <si>
    <t>stuff</t>
  </si>
  <si>
    <t>000</t>
  </si>
  <si>
    <t>idea</t>
  </si>
  <si>
    <t>national</t>
  </si>
  <si>
    <t>fake</t>
  </si>
  <si>
    <t>buying</t>
  </si>
  <si>
    <t>crisis</t>
  </si>
  <si>
    <t>nice</t>
  </si>
  <si>
    <t>lives</t>
  </si>
  <si>
    <t>reason</t>
  </si>
  <si>
    <t>situation</t>
  </si>
  <si>
    <t>party</t>
  </si>
  <si>
    <t>understand</t>
  </si>
  <si>
    <t>sense</t>
  </si>
  <si>
    <t>rest</t>
  </si>
  <si>
    <t>couple</t>
  </si>
  <si>
    <t>telling</t>
  </si>
  <si>
    <t>2020</t>
  </si>
  <si>
    <t>office</t>
  </si>
  <si>
    <t>left</t>
  </si>
  <si>
    <t>cut</t>
  </si>
  <si>
    <t>kill</t>
  </si>
  <si>
    <t>stores</t>
  </si>
  <si>
    <t>told</t>
  </si>
  <si>
    <t>remember</t>
  </si>
  <si>
    <t>healthcare</t>
  </si>
  <si>
    <t>sad</t>
  </si>
  <si>
    <t>children</t>
  </si>
  <si>
    <t>sanitizer</t>
  </si>
  <si>
    <t>word</t>
  </si>
  <si>
    <t>worse</t>
  </si>
  <si>
    <t>history</t>
  </si>
  <si>
    <t>videos</t>
  </si>
  <si>
    <t>bought</t>
  </si>
  <si>
    <t>ass</t>
  </si>
  <si>
    <t>matter</t>
  </si>
  <si>
    <t>feeling</t>
  </si>
  <si>
    <t>price</t>
  </si>
  <si>
    <t>power</t>
  </si>
  <si>
    <t>friend</t>
  </si>
  <si>
    <t>started</t>
  </si>
  <si>
    <t>damn</t>
  </si>
  <si>
    <t>biden</t>
  </si>
  <si>
    <t>peace</t>
  </si>
  <si>
    <t>change</t>
  </si>
  <si>
    <t>single</t>
  </si>
  <si>
    <t>supplies</t>
  </si>
  <si>
    <t>tax</t>
  </si>
  <si>
    <t>parents</t>
  </si>
  <si>
    <t>leader</t>
  </si>
  <si>
    <t>shame</t>
  </si>
  <si>
    <t>legal</t>
  </si>
  <si>
    <t>blame</t>
  </si>
  <si>
    <t>american</t>
  </si>
  <si>
    <t>yup</t>
  </si>
  <si>
    <t>socialist</t>
  </si>
  <si>
    <t>fine</t>
  </si>
  <si>
    <t>war</t>
  </si>
  <si>
    <t>bernie</t>
  </si>
  <si>
    <t>control</t>
  </si>
  <si>
    <t>straight</t>
  </si>
  <si>
    <t>market</t>
  </si>
  <si>
    <t>type</t>
  </si>
  <si>
    <t>selfish</t>
  </si>
  <si>
    <t>joe</t>
  </si>
  <si>
    <t>illegal</t>
  </si>
  <si>
    <t>jimmy</t>
  </si>
  <si>
    <t>reality</t>
  </si>
  <si>
    <t>hilarious</t>
  </si>
  <si>
    <t>hoarding</t>
  </si>
  <si>
    <t>woman</t>
  </si>
  <si>
    <t>looters</t>
  </si>
  <si>
    <t>easily</t>
  </si>
  <si>
    <t>towels</t>
  </si>
  <si>
    <t>completely</t>
  </si>
  <si>
    <t>justice</t>
  </si>
  <si>
    <t>matt</t>
  </si>
  <si>
    <t>forgot</t>
  </si>
  <si>
    <t>democratic</t>
  </si>
  <si>
    <t>dollars</t>
  </si>
  <si>
    <t>shelter</t>
  </si>
  <si>
    <t>arrested</t>
  </si>
  <si>
    <t>capitalism</t>
  </si>
  <si>
    <t>anti</t>
  </si>
  <si>
    <t>bullshit</t>
  </si>
  <si>
    <t>fair</t>
  </si>
  <si>
    <t>political</t>
  </si>
  <si>
    <t>afford</t>
  </si>
  <si>
    <t>stand</t>
  </si>
  <si>
    <t>masks</t>
  </si>
  <si>
    <t>sales</t>
  </si>
  <si>
    <t>poor</t>
  </si>
  <si>
    <t>report</t>
  </si>
  <si>
    <t>wall</t>
  </si>
  <si>
    <t>emergency</t>
  </si>
  <si>
    <t>greedy</t>
  </si>
  <si>
    <t>jack</t>
  </si>
  <si>
    <t>corporate</t>
  </si>
  <si>
    <t>advantage</t>
  </si>
  <si>
    <t>supporters</t>
  </si>
  <si>
    <t>middle</t>
  </si>
  <si>
    <t>soul</t>
  </si>
  <si>
    <t>agreed</t>
  </si>
  <si>
    <t>depression</t>
  </si>
  <si>
    <t>special</t>
  </si>
  <si>
    <t>tree</t>
  </si>
  <si>
    <t>black</t>
  </si>
  <si>
    <t>running</t>
  </si>
  <si>
    <t>mike</t>
  </si>
  <si>
    <t>police</t>
  </si>
  <si>
    <t>perfect</t>
  </si>
  <si>
    <t>continue</t>
  </si>
  <si>
    <t>horrible</t>
  </si>
  <si>
    <t>jesus</t>
  </si>
  <si>
    <t>customer</t>
  </si>
  <si>
    <t>greed</t>
  </si>
  <si>
    <t>based</t>
  </si>
  <si>
    <t>mal</t>
  </si>
  <si>
    <t>stopped</t>
  </si>
  <si>
    <t>ireland</t>
  </si>
  <si>
    <t>items</t>
  </si>
  <si>
    <t>box</t>
  </si>
  <si>
    <t>rich</t>
  </si>
  <si>
    <t>rolls</t>
  </si>
  <si>
    <t>selling</t>
  </si>
  <si>
    <t>aid</t>
  </si>
  <si>
    <t>faith</t>
  </si>
  <si>
    <t>voting</t>
  </si>
  <si>
    <t>banks</t>
  </si>
  <si>
    <t>johnson</t>
  </si>
  <si>
    <t>treatment</t>
  </si>
  <si>
    <t>reach</t>
  </si>
  <si>
    <t>worker</t>
  </si>
  <si>
    <t>lady</t>
  </si>
  <si>
    <t>crime</t>
  </si>
  <si>
    <t>fired</t>
  </si>
  <si>
    <t>limit</t>
  </si>
  <si>
    <t>homeless</t>
  </si>
  <si>
    <t>packs</t>
  </si>
  <si>
    <t>economic</t>
  </si>
  <si>
    <t>karma</t>
  </si>
  <si>
    <t>christ</t>
  </si>
  <si>
    <t>wars</t>
  </si>
  <si>
    <t>filming</t>
  </si>
  <si>
    <t>dollar</t>
  </si>
  <si>
    <t>tim</t>
  </si>
  <si>
    <t>fault</t>
  </si>
  <si>
    <t>pathetic</t>
  </si>
  <si>
    <t>finished</t>
  </si>
  <si>
    <t>crimes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</si>
  <si>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</si>
  <si>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</si>
  <si>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</si>
  <si>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</si>
  <si>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</si>
  <si>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</si>
  <si>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</si>
  <si>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</si>
  <si>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</si>
  <si>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</si>
  <si>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</si>
  <si>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</si>
  <si>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</si>
  <si>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</si>
  <si>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</si>
  <si>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</si>
  <si>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</si>
  <si>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</si>
  <si>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</si>
  <si>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</si>
  <si>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</si>
  <si>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</si>
  <si>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</si>
  <si>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</si>
  <si>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</si>
  <si>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</si>
  <si>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</si>
  <si>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</si>
  <si>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</si>
  <si>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</si>
  <si>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</si>
  <si>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</si>
  <si>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</si>
  <si>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</si>
  <si>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</si>
  <si>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</si>
  <si>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</si>
  <si>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</si>
  <si>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</si>
  <si>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</si>
  <si>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</si>
  <si>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</si>
  <si>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</si>
  <si>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</si>
  <si>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</si>
  <si>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</si>
  <si>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</si>
  <si>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</si>
  <si>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</si>
  <si>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</si>
  <si>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</si>
  <si>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</si>
  <si>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</si>
  <si>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</si>
  <si>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</si>
  <si>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</si>
  <si>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</si>
  <si>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</si>
  <si>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</si>
  <si>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</si>
  <si>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</si>
  <si>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</si>
  <si>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</si>
  <si>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Comment in Entire Graph</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</si>
  <si>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</si>
  <si>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</si>
  <si>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</si>
  <si>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</si>
  <si>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</si>
  <si>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</si>
  <si>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</si>
  <si>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</si>
  <si>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</si>
  <si>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</si>
  <si>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</si>
  <si>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</si>
  <si>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</si>
  <si>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</si>
  <si>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</si>
  <si>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</si>
  <si>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</si>
  <si>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</si>
  <si>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G9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</si>
  <si>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</si>
  <si>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</si>
  <si>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</si>
  <si>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</si>
  <si>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</si>
  <si>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</si>
  <si>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</si>
  <si>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</si>
  <si>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</si>
  <si>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</si>
  <si>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</si>
  <si>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</si>
  <si>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</si>
  <si>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</si>
  <si>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</si>
  <si>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</si>
  <si>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</si>
  <si>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</si>
  <si>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</si>
  <si>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</si>
  <si>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</si>
  <si>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</si>
  <si>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</si>
  <si>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Video URL in Entire Graph</t>
  </si>
  <si>
    <t>https://www.youtube.com/watch?v=</t>
  </si>
  <si>
    <t>Top Video URL in G1</t>
  </si>
  <si>
    <t>Top Video URL in G2</t>
  </si>
  <si>
    <t>Top Video URL in G3</t>
  </si>
  <si>
    <t>Top Video URL in G4</t>
  </si>
  <si>
    <t>Top Video URL in G5</t>
  </si>
  <si>
    <t>Top Video URL in G6</t>
  </si>
  <si>
    <t>Top Video URL in G7</t>
  </si>
  <si>
    <t>Top Video URL in G8</t>
  </si>
  <si>
    <t>Top Video URL in G9</t>
  </si>
  <si>
    <t>Top Video URL</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</si>
  <si>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</si>
  <si>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</si>
  <si>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</si>
  <si>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</si>
  <si>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</si>
  <si>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</si>
  <si>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</si>
  <si>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</si>
  <si>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</si>
  <si>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</si>
  <si>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t>
  </si>
  <si>
    <t/>
  </si>
  <si>
    <t>Top Word Pairs in Comment in Entire Graph</t>
  </si>
  <si>
    <t>toilet,paper</t>
  </si>
  <si>
    <t>Top Word Pairs in Comment in G1</t>
  </si>
  <si>
    <t>hand,sanitizer</t>
  </si>
  <si>
    <t>Top Word Pairs in Comment in G2</t>
  </si>
  <si>
    <t>Top Word Pairs in Comment in G3</t>
  </si>
  <si>
    <t>Top Word Pairs in Comment in G4</t>
  </si>
  <si>
    <t>Top Word Pairs in Comment in G5</t>
  </si>
  <si>
    <t>Top Word Pairs in Comment in G6</t>
  </si>
  <si>
    <t>Top Word Pairs in Comment in G7</t>
  </si>
  <si>
    <t>Top Word Pairs in Comment in G8</t>
  </si>
  <si>
    <t>Top Word Pairs in Comment in G9</t>
  </si>
  <si>
    <t>Top Word Pairs in Comment</t>
  </si>
  <si>
    <t>URLs In Comment by Count</t>
  </si>
  <si>
    <t>URLs In Comment by Salience</t>
  </si>
  <si>
    <t>Domains In Comment by Count</t>
  </si>
  <si>
    <t>Domains In Comment by Salience</t>
  </si>
  <si>
    <t>Hashtags In Comment by Count</t>
  </si>
  <si>
    <t>Hashtags In Comment by Salience</t>
  </si>
  <si>
    <t>Video URL by Count</t>
  </si>
  <si>
    <t>Video URL by Salience</t>
  </si>
  <si>
    <t>Top Words in Comment by Count</t>
  </si>
  <si>
    <t>Top Words in Comment by Salience</t>
  </si>
  <si>
    <t>Top Word Pairs in Comment by Count</t>
  </si>
  <si>
    <t>Top Word Pairs in Comment by Salience</t>
  </si>
  <si>
    <t>Count of Publishet At</t>
  </si>
  <si>
    <t>Row Labels</t>
  </si>
  <si>
    <t>Grand Total</t>
  </si>
  <si>
    <t>Mar</t>
  </si>
  <si>
    <t>22-Mar</t>
  </si>
  <si>
    <t>23-Mar</t>
  </si>
  <si>
    <t>24-Mar</t>
  </si>
  <si>
    <t>27-Mar</t>
  </si>
  <si>
    <t>Apr</t>
  </si>
  <si>
    <t>128, 128, 128</t>
  </si>
  <si>
    <t>Red</t>
  </si>
  <si>
    <t>YouTubeUser</t>
  </si>
  <si>
    <t>NodeXL</t>
  </si>
  <si>
    <t>The graph was laid out using the Harel-Koren Fast Multiscale layout algorithm.</t>
  </si>
  <si>
    <t>The graph's vertices were grouped by cluster using the Clauset-Newman-Moore cluster algorithm.</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</si>
  <si>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t>
  </si>
  <si>
    <t>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t>
  </si>
  <si>
    <t xml:space="preserve">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</si>
  <si>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t>
  </si>
  <si>
    <t xml:space="preser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t>
  </si>
  <si>
    <t xml:space="preserve">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t>
  </si>
  <si>
    <t xml:space="preserve">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t>
  </si>
  <si>
    <t>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t>
  </si>
  <si>
    <t>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t>
  </si>
  <si>
    <t xml:space="preserve">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t>
  </si>
  <si>
    <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t>
  </si>
  <si>
    <t>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t>
  </si>
  <si>
    <t>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t>
  </si>
  <si>
    <t>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t>
  </si>
  <si>
    <t>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t>
  </si>
  <si>
    <t>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&lt;NetworkTopItemsUserSettings&gt;
                &lt;NumberOfItemsToGet&gt;10&lt;/NumberOfItemsToGet&gt;
                &lt;WorksheetName&gt;Edges&lt;/WorksheetName&gt;
                &lt;TableName&gt;Edges&lt;/TableName&gt;
                &lt;ColumnName&gt;Video URL&lt;/ColumnName&gt;
                &lt;Delimiter&gt;None&lt;/Delimiter&gt;
              &lt;/NetworkTopItemsUserSettings&gt;
            &lt;/NetworkTopItemsUserSettingsToCalculate&gt;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t>
  </si>
  <si>
    <t>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&lt;value&gt;8&lt;/value&gt;
      &lt;/setting&gt;
      &lt;setting name="AutoSelect" serializeAs="String"&gt;
        &lt;value&gt;True&lt;/value&gt;
      &lt;/setting&gt;
      &lt;setting name="LabelUserSettings" serializeAs="String"&gt;
        &lt;value&gt;Microsoft Sans Serif, 27.75pt White BottomCenter 30 2147483647 Black True 410 Black 86 TopLeft Microsoft Sans Se</t>
  </si>
  <si>
    <t>UC7x9_kEXL1ZApi5VyfWCY_A</t>
  </si>
  <si>
    <t>UCIykfDLsjZByMEXDU7XqVhg</t>
  </si>
  <si>
    <t>UCFhsBKYnt6CLxukd5uqJZrA</t>
  </si>
  <si>
    <t>UCJfiDdpLkI8LSHFQuzvx3FQ</t>
  </si>
  <si>
    <t>UCWYnNPZJ4gVCDKZGvBaoSjQ</t>
  </si>
  <si>
    <t>UCReaHOQu71QT6o-4fphdPKw</t>
  </si>
  <si>
    <t>UClhuyN7siN-XGSCfYg_KL8w</t>
  </si>
  <si>
    <t>UCXIdsaCiwO4wx2sa4Ea1r3w</t>
  </si>
  <si>
    <t>UCm5lH-uUs6RBSPWDdLHBeHQ</t>
  </si>
  <si>
    <t>UC513I_mp7Vn5vmB9xoFAXWA</t>
  </si>
  <si>
    <t>UCZRsbwr8wtLjxR2tQRMZA9A</t>
  </si>
  <si>
    <t>UC48GDyHlhY6qMDusEqwsJLQ</t>
  </si>
  <si>
    <t>UCvFvo310EFTNVcGfu0vvTPg</t>
  </si>
  <si>
    <t>UCcpk4DMUL77bDwnugsEEHwQ</t>
  </si>
  <si>
    <t>UCQszm97yuyMfeNLjNhLQtjg</t>
  </si>
  <si>
    <t>UCz5qRMQF5M6D4SpON8nzbHg</t>
  </si>
  <si>
    <t>UCtEdGDji4XmV0hboA_wm0_g</t>
  </si>
  <si>
    <t>UCIvbhIsBxxNyHDQrRHZjY5w</t>
  </si>
  <si>
    <t>UC6Uo2ffY8Bie7FRTjvyqnog</t>
  </si>
  <si>
    <t>UCJJBoNgLMuT2OEwqKxqd74Q</t>
  </si>
  <si>
    <t>UCOrav9J_4AA_YhwEKB6GsBA</t>
  </si>
  <si>
    <t>UCRNjXS-Xvgsjau1kpPWOtIw</t>
  </si>
  <si>
    <t>UC2bxB4kLFJJgl28Xg749ufQ</t>
  </si>
  <si>
    <t>UCyTcGBoN5yg6tR0luGdGE1w</t>
  </si>
  <si>
    <t>UC86XgDGeeokFIkMDP3shLaQ</t>
  </si>
  <si>
    <t>UCyX1u6BJ7pON23E-9mIXl8Q</t>
  </si>
  <si>
    <t>UCoWqIAlBNV5YVv_KUziEPpg</t>
  </si>
  <si>
    <t>UCvjWMupg9Kuzj-JBpco4L1g</t>
  </si>
  <si>
    <t>UCKPAlKUaoq6_h3rj8AyguRg</t>
  </si>
  <si>
    <t>UCwLvX1xSEvRJ0HxWIRIu6-g</t>
  </si>
  <si>
    <t>UCI4AiCGAZDk7M_ecuqxNxNA</t>
  </si>
  <si>
    <t>UCxB8kqvB0eNH6ORX6l1yPbg</t>
  </si>
  <si>
    <t>UChDa7-LeLEDuk7xkf7wHCbg</t>
  </si>
  <si>
    <t>UCa9ECoAwB9PGwGp8HBr0ceA</t>
  </si>
  <si>
    <t>UCLswkNtcRTygrVqG-VufI9A</t>
  </si>
  <si>
    <t>UC4GOUO7fjBrBfeRSiMAl31Q</t>
  </si>
  <si>
    <t>UCaGhXr-kvN_GI1muhSsXTrg</t>
  </si>
  <si>
    <t>UCIMEtwv81uPCn_KmlW6iOlA</t>
  </si>
  <si>
    <t>UCnFJ4cNNQdb9kvmTZAIgKsw</t>
  </si>
  <si>
    <t>UCzqDt_l9Cg3kZA3Wuo2b88Q</t>
  </si>
  <si>
    <t>UCP4dWyJzFjajeL-6LZpaxxg</t>
  </si>
  <si>
    <t>UCEumYcqRhFB_50mlEbGDCIQ</t>
  </si>
  <si>
    <t>UC_cOJVzPhf7iG2A5wj3eTKw</t>
  </si>
  <si>
    <t>UCS7JpwViCLoWo4cGVGzMGDQ</t>
  </si>
  <si>
    <t>UCVkBNuh0NbeouMbE8fjGm8w</t>
  </si>
  <si>
    <t>UCaV83QCCICMomi4nDLmMIPg</t>
  </si>
  <si>
    <t>UCLs7cpOjbykXTker--7B7Rw</t>
  </si>
  <si>
    <t>UC1wz07fnWZJCU2E6pDUHv6A</t>
  </si>
  <si>
    <t>UCKUjp1gdGVpRVCkfcUM35ng</t>
  </si>
  <si>
    <t>UCBwIvSHzNL5sWjN0hcFGb2g</t>
  </si>
  <si>
    <t>UCR-x4R2A66CvfBD3G3mFtkQ</t>
  </si>
  <si>
    <t>UCrW4LjX9jhCdjmqt9vLpBuQ</t>
  </si>
  <si>
    <t>UCSNwk1mZCxz0WkWk4C1AOog</t>
  </si>
  <si>
    <t>UCz4TH5L5v9eAbJ1gpw-vLeg</t>
  </si>
  <si>
    <t>UC5BuVr5uirGZhG0qsletd5A</t>
  </si>
  <si>
    <t>UCIPm0BcT0umjrI9mw0bsHYA</t>
  </si>
  <si>
    <t>UCBvG32FaaoWFoQ30DvSyrHw</t>
  </si>
  <si>
    <t>UC0Cy8LOSzB_Cfr3uwBSLGNA</t>
  </si>
  <si>
    <t>UCuFOndAULZ3uyRBasI9ahpg</t>
  </si>
  <si>
    <t>UCoRLkOzhw8HekouG2PWC2zg</t>
  </si>
  <si>
    <t>UCmJgjUswcF2Q7mo3cJ364Sg</t>
  </si>
  <si>
    <t>UCbTEPPnor25BJIqAb_ZmhAA</t>
  </si>
  <si>
    <t>UCxLES-3tK4vhQ8cLIIm7sYA</t>
  </si>
  <si>
    <t>UCPeJ687jzKmPpzaXaAUMhPQ</t>
  </si>
  <si>
    <t>UClwdEiKlRcZPJs5YYFDRygw</t>
  </si>
  <si>
    <t>UCPQEfl5Izzd58jGk1clvJrg</t>
  </si>
  <si>
    <t>UCI4gPi01UDuazhDGJEVOwlg</t>
  </si>
  <si>
    <t>UCm7F1hYnkmFqIf7Ee5fx4PQ</t>
  </si>
  <si>
    <t>UC7nM_6yyE5e46kBfFap5QpA</t>
  </si>
  <si>
    <t>UCIa6MTGkOnHzKaIHeEUTsZQ</t>
  </si>
  <si>
    <t>UCh3sDKgt1TqH1VuAh-4u04Q</t>
  </si>
  <si>
    <t>UCPs5ReaHmB8LvhgKnIznIpg</t>
  </si>
  <si>
    <t>UCZZSzZTvNoIpziLJhr4_2Hg</t>
  </si>
  <si>
    <t>UCt3qJ-f4f2XV0_8p7P0KSfA</t>
  </si>
  <si>
    <t>UCQoKr6vwTGfnxZA4iU_GO2A</t>
  </si>
  <si>
    <t>UC5wyOSu26n9JKzkBfPFxrMQ</t>
  </si>
  <si>
    <t>UCMka0q4vHGs-AHu-MNDg33Q</t>
  </si>
  <si>
    <t>UCWMXGqlsz-IritD0jiw-ENg</t>
  </si>
  <si>
    <t>UCgADIxA04eX5JqTbtiXkIBA</t>
  </si>
  <si>
    <t>UCWo-NV8TV7NgAoRgvvuu0Fg</t>
  </si>
  <si>
    <t>UCmwY6lE_XK0wxESST3mKjbQ</t>
  </si>
  <si>
    <t>UCuDm7IEMWAR_lgmIfeAd-lA</t>
  </si>
  <si>
    <t>UC3FuzRl3D9jgmPNptxrJiIA</t>
  </si>
  <si>
    <t>UCx9C-DNiaH3FqHhf-Sruz2w</t>
  </si>
  <si>
    <t>UCgxim1If1GRYfn0LlcNMZPw</t>
  </si>
  <si>
    <t>UCTD3T1oiITOBMSLWnOlRx9g</t>
  </si>
  <si>
    <t>UCElFOVHo3wkleRtjj2nkmoQ</t>
  </si>
  <si>
    <t>UCGbqK5PmhLSKcoWF3ugyfIA</t>
  </si>
  <si>
    <t>UCpQ5hf5rc5V2YImTM7sRCyg</t>
  </si>
  <si>
    <t>UC-ZYElr8s4DUq_mV-54LYww</t>
  </si>
  <si>
    <t>UCUmvDtvYGtWn0X68wy2MXWQ</t>
  </si>
  <si>
    <t>UCLcw5E_aZNmI37wPN1zBNow</t>
  </si>
  <si>
    <t>UCNYSaKXoIywTrmguWATCGdg</t>
  </si>
  <si>
    <t>UCHDhEYbvt58VoB_EmmoGKzQ</t>
  </si>
  <si>
    <t>UCOxR2xzgccf-z4Xknns1q9g</t>
  </si>
  <si>
    <t>UCTHYHmZPeIxA-AlMNciltmg</t>
  </si>
  <si>
    <t>UCiGuh8-uiYsSgzL7Vro6EUg</t>
  </si>
  <si>
    <t>UCcTqVddA3x4PKTyY7nAuUqQ</t>
  </si>
  <si>
    <t>UCMOnVaVjpGTfnRXkGyE1mGw</t>
  </si>
  <si>
    <t>UCpQAwMfpP9MISSUuRRIxA0A</t>
  </si>
  <si>
    <t>UCEopbtSohnnWPvLmugfC_4Q</t>
  </si>
  <si>
    <t>UCGnKP41Zozwe387d5CakiMA</t>
  </si>
  <si>
    <t>UCJPr1NicnL24X4c47Yh_cKA</t>
  </si>
  <si>
    <t>UC0kbZ08xIZxYkMw1GaswkTQ</t>
  </si>
  <si>
    <t>UCyGi1E-cVLufZHG4RugRivQ</t>
  </si>
  <si>
    <t>UCNmDmaEx2Sj6Nmsa4aWyYYQ</t>
  </si>
  <si>
    <t>UCXMh2hN11YUaC8RvaYWFn4g</t>
  </si>
  <si>
    <t>UCwnsrEVkVOvGMc934DSFRXg</t>
  </si>
  <si>
    <t>UCq2ezHzepWc21jymDdA6SfQ</t>
  </si>
  <si>
    <t>UC-k5kdcnYfmOPIdFeKadsWw</t>
  </si>
  <si>
    <t>UCjRXO-HSl5XpuF-cWvtMV_g</t>
  </si>
  <si>
    <t>@Mike Lewis i do sympathise with u all as im British and we have free healthcare which should be free everywhere as a human right.But the US is too Calvinist where the belief is the poor are poor and rich are rich because this so called god wanted it.Thats why the Church there is so powerful while here in europe its not as the welfare system has replaced them.The whole Calvinist/Ayn Rand ethos of the US needs to be taken on and dismantled</t>
  </si>
  <si>
    <t>Is that you Beto _xD83D__xDC40_?</t>
  </si>
  <si>
    <t>bernie  is finished and soon will be endorsing his good friend Biden</t>
  </si>
  <si>
    <t>@terry helton He was buying hand sanitizer for a dollar and selling it online for 20. He ended up getting charged from what i heard.</t>
  </si>
  <si>
    <t>@joan anthony That&amp;#39;s insane! Link? _xD83D__xDE4F_</t>
  </si>
  <si>
    <t>I went to the store and the customer behind me tried to buy 2 bags of rice. The cashier told them they can only buy one, and the customer handed it over. No issues or drama. People need to chill the hell out and let others get their stuff, especially now</t>
  </si>
  <si>
    <t>It&amp;#39;s like Tim said, &amp;quot;There are a lot of corporations out there that are just  fine with it.&amp;quot;</t>
  </si>
  <si>
    <t>@Gamer4LIfe_07 agreed_xD83D__xDC4D_</t>
  </si>
  <si>
    <t>Sickening!  Put her on the Hall of Shame with the rest of them.</t>
  </si>
  <si>
    <t>@joan anthony I blame the store!  Stop this mess now!</t>
  </si>
  <si>
    <t>Some people feel no shame!</t>
  </si>
  <si>
    <t>Really, where is the common sense of  cashier and the manager?</t>
  </si>
  <si>
    <t>@Leslie Wheeler If there were a lot more people like her, the human race wold have died out long ago. The true story of our species is one of love, honor, pride, compassion and sacrifice.  That ignorant woman is simply choosing not to participate, jumping right into the dustbin of wasted life. And how sad it is so easily seen that she is a Trumper.</t>
  </si>
  <si>
    <t>18000....Are you fucking serious .... Just disgusting</t>
  </si>
  <si>
    <t>What?!</t>
  </si>
  <si>
    <t>JonnyB Good to hear that. This shit&amp;#39;s serious. You can&amp;#39;t act like you&amp;#39;re scalping tickets.</t>
  </si>
  <si>
    <t>@JonnyB He bought 28,000 bottles.  I believe that he was told that he would be charged if he didn&amp;#39;t hand it over so he lost all the money he spent on it.  &lt;br /&gt;They should definitely go after this woman but the store should get a warning too as they are colluding with it.  It is hard for someone sitting at a till to stand up to people like this but if they won&amp;#39;t the store should call the police.&lt;br /&gt;Everyone needs to be responsible but stores need to force people like this to be.</t>
  </si>
  <si>
    <t>Agreed that&amp;#39;s just messed up. Dollar tree should put a limit on hand sanitizer and essentials.</t>
  </si>
  <si>
    <t>The store should have put a limit on the product .This isn&amp;#39;t right &lt;br /&gt;They should do her like the guy who bought 18,000 bottles of hand&lt;br /&gt;sanitizer &lt;br /&gt;PURE GREED</t>
  </si>
  <si>
    <t>I thought the same thing, the only difference between trump and biden  is he is more obnoxious.</t>
  </si>
  <si>
    <t>@joan anthony &lt;br /&gt;Thought:&lt;br /&gt;You know I have been researching through political history and I am not sure if the democratic party has EVER been for the people. The GOP have historically been such bastards that the Dems look good by comparison. &lt;br /&gt;But what have the really done for the people that the weren&amp;#39;t pulled kicking and screaming to the side of... right?</t>
  </si>
  <si>
    <t>@joan anthony Are you telling me, Johnson, that you have Johnson?</t>
  </si>
  <si>
    <t>Yes!! Exactly!!</t>
  </si>
  <si>
    <t>crash bandicoot I can’t wait for trump to go in on Biden. It’s gonna be so entertaining</t>
  </si>
  <si>
    <t>@joan anthony Late capitalism is barbaric. Either the multiracial working class fights for the things we need and against the things that harm us or we will endure more barbarism.</t>
  </si>
  <si>
    <t>In all fairness, I don&amp;#39;t think he actually says millennials.  He just implies young people, which for Joe includes 60-year-olds.</t>
  </si>
  <si>
    <t>crash bandicoot... he’s an unapologetic hypocrite.</t>
  </si>
  <si>
    <t>That wasn&amp;#39;t years ago that was actually MONTHS AGO!!!</t>
  </si>
  <si>
    <t>@SnapShot&amp;#39;s Reviews if there are any debates that is_xD83D__xDE02_</t>
  </si>
  <si>
    <t>Yup. Told them to quit complaining (about their student debt).</t>
  </si>
  <si>
    <t>@Nakaelena I agree.  Trump is horrible but he can also be funny.  Biden is horrible and that is all he is.  Neither of them should be president.  I can understand the DNC trying to push him through because they are paranoid about Bernie charging them more tax or imposing things like rent caps but what is it with American people who pretend that the bad sides of him don&amp;#39;t exist.  They call accusations of him groping children, smears even though there are plenty of videos and some are very disturbing.  Trump is creepy too but do people really want a choice of someone who gropes 14 year olds and someone who gropes 8 year olds?  Is that really ok?&lt;br /&gt;Mind you, I am in the UK and we have Johnson so I don&amp;#39;t understand English people either.</t>
  </si>
  <si>
    <t>I find it hilarious that Joe Biden says Donald Trump has no empathy mean well he was really caught on camera a couple years ago saying that he has no empathy for millennials</t>
  </si>
  <si>
    <t>Padriac Pearse I like that!</t>
  </si>
  <si>
    <t>That B is an entre-manure</t>
  </si>
  <si>
    <t>I saw 2 packs of napkins yesterday on the shelf at the gas station....grabbed one. Hope the other one went to someone who needed it.....da phuck is wrong people?</t>
  </si>
  <si>
    <t>Yeah she had to have known this store wasn&amp;#39;t imposing limits or has an in cause every store I&amp;#39;ve gone to in freaking FL no less has limits to stop stuff like this even if corporate hasn&amp;#39;t given them the go ahead. &lt;br /&gt;&lt;br /&gt;My dad (also a Trump supporter and so called Christian) in NJ actually took the only 6 cans of Lysol a Dollar store had to give to my mom and me which made me furious. I&amp;#39;m giving 3 away once they get here.</t>
  </si>
  <si>
    <t>Even the 99 Cents Only Store will not sell more than 2 rolls of toilet paper (which they currently do not have), eggs or bread. They have some morals.</t>
  </si>
  <si>
    <t>This is why our founding fathers implemented the electoral college.</t>
  </si>
  <si>
    <t>It&amp;#39;s pretty obvious, you can tell easily by her character that she&amp;#39;s selfish.  A decent person doesn&amp;#39;t do that or act this way.</t>
  </si>
  <si>
    <t>If she was nice she would have given the lady a box</t>
  </si>
  <si>
    <t>Debbie dumb</t>
  </si>
  <si>
    <t>Maybe, go back and watch the video.  Someone donating to a shelter or some such would just say that.  She STARTED by giving the recorder the bird!  Nah she&amp;#39;s not a nice person.</t>
  </si>
  <si>
    <t>Please stay in Florida.</t>
  </si>
  <si>
    <t>How does anyone know she isn’t donating this to a shelter or church. Why jump to conclusions that she’s selling these to make a profit! Right away jump to it’s President Trump’s fault! He’s telling people don’t buy large amounts! Right away....Far left socialist hypocrisy! That woman filming was taunting her. After her harassing &amp;amp; filming like that, I would have told her the same thing! Trump 2Q2Q!</t>
  </si>
  <si>
    <t>LMFAO. Sure he is.</t>
  </si>
  <si>
    <t>Joe is a fake...a.total.fake and corrupt paracite..but bernie is the BIGGEST OF ALL..</t>
  </si>
  <si>
    <t>Bernie says his good friend Joe Biden can beat Trump in November.</t>
  </si>
  <si>
    <t>He should. Bernie-Nina 2020.</t>
  </si>
  <si>
    <t>It would feel good short term, but that would taint the &amp;quot;progressive&amp;quot; types too much and blame Dems losing on &amp;quot;socialist&amp;quot; types.&lt;br /&gt;&lt;br /&gt;Just vote third party, it&amp;#39;s what I&amp;#39;m doing and I live in a swing state.</t>
  </si>
  <si>
    <t>@Kyle Lovell Bernie supporters voting 3rd party will pull that party up into public relevancy.</t>
  </si>
  <si>
    <t>@Kyle Lovell I hope left wing sites start interviewing people from third parties and talking about them more.  You never know.  The turnout is likely to be low so it might be the best change for a good third party candidate.  It is the only way to give the DNC a slap and get rid of Trump.</t>
  </si>
  <si>
    <t>I think it’s the perfect time for Bernie _xD83D__xDE0E_ to announce that he’s going third party. Bernie “I wrote the damn bill “Sanders 2020!!</t>
  </si>
  <si>
    <t>The employee can&amp;#39;t reject a sale without getting in trouble with management. The store itself is definitely to blame, but the employee can&amp;#39;t afford to get fired in the middle of a pandemic. Especially when America is so anti-worker.&lt;br /&gt;Here in Tokyo, without being prompted, convenience stores, pharmacies and super markets self-imposed a 1-per-costumer daily limit on stuff like masks, toilet paper and all. It&amp;#39;s not like this hurts the bottom line of the stores even, since even with that, they are still selling more masks and toilet paper than in any given month. This is just the ethical thing to do, plain and simple.</t>
  </si>
  <si>
    <t>@JGCR 45 I dont think so I was in a grocery store on Tuesday a man had two carts full paper towels and tissue the store manager mad him put it back. and told the man that&amp;#39;s not fair to people that need it two.</t>
  </si>
  <si>
    <t>Who ever was the employees working in that store and let them take all the supplies should be fired. that woman had to have a family member our friend working in that store to pul that off.</t>
  </si>
  <si>
    <t>Yup. Rugged individualism &amp;amp; corporate greed are the foundations of neo liberalism. I hope this crisis causes a reevaluation of how things are done- but I have very little faith the people with the power to actually change things won&amp;#39;t.</t>
  </si>
  <si>
    <t>Too bad you don&amp;#39;t live next to me. My wife works at the hospital and I would have given you some for free as I have already been doing for anyone I know who needs them.</t>
  </si>
  <si>
    <t>@Julie Levinge I think there&amp;#39;s more like me than you think. Keep the faith _xD83D__xDE4F_</t>
  </si>
  <si>
    <t>World Wars I and II, also during the Depression and even after, though more sporadically. My parents talked about during WW II and the Depression. Yes, it was much better then. Maybe this will bring about some change. One note: There are people who are good to others at any time, all the time, even now.</t>
  </si>
  <si>
    <t>@angela bluebird60 I think it is a bit overstated.  People look back nostalgically but there is always a thriving black market during wars.  In London, raids during the blitz were common.  &lt;br /&gt;Any plan should always include the acknowledgment that people are likely to be either (i) stupid or (ii) greedy.  Sometimes it is genuine panic but people need to learn to control that.</t>
  </si>
  <si>
    <t>When was that?? When we took care of each other??? World war 1 or world war 2??????</t>
  </si>
  <si>
    <t>Yes, looters who are starving during a hurricane got shot or arrested.  This couple might yet get arrested though.</t>
  </si>
  <si>
    <t>mike lomez Your the type of person we need in a crisis takecare✊♥️</t>
  </si>
  <si>
    <t>Julie: We keep electing soul less psychopaths.</t>
  </si>
  <si>
    <t>Looters get arrested?? Yet this behaviour is ok? Thats capitalism, if your fitter than someone else take advantage!! I needed a face mask for my daughter who’s recovering from leukaemia, needs to go for vital treatment on Monday. Pharmacy where I normally buy them by the box? Gave me a single one for £10!!! Some are charging £20!!! That’s fine she’s unlucky to have leukaemia, your lucky not to,so make some money!! That’s neoliberal capitalism!! Works perfectly!!( if you don’t have a soul!)</t>
  </si>
  <si>
    <t>She&amp;#39;s a Trumper in the land of guns.  It could escalate quickly during this pandemic.</t>
  </si>
  <si>
    <t>my thoughts too. i would have taken one just to spite her</t>
  </si>
  <si>
    <t>don&amp;#39;t these people know they aren&amp;#39;t arresting people for petty crimes during this pandemic? walk up to her little lemonaid stand and just take a box.</t>
  </si>
  <si>
    <t>57: Yes. Why are the paper producers - like Koch&amp;#39;s Georgia Pacific - not saying nor doing anything?</t>
  </si>
  <si>
    <t>Koch Brothers (or Koch Brother as one of them is pushing up daises now) who hold the monopoly on the Toilet Paper Industry is sittin&amp;#39; in his easy chair watching all the mayhem over his products laughing his ass off all the way to his bank probably thinkin&amp;#39;, maybe I should cut back on production to see how many people will kill each other over a roll of TP. In the meantime the Power Elites are robbin&amp;#39; the bank, startin&amp;#39; wars, and stripping all constitutional rights from the people behind the curtain.</t>
  </si>
  <si>
    <t>Idiots who&amp;#39;ve been hiding in the sticks: ENABLED</t>
  </si>
  <si>
    <t>Good chance that stuff is for a billionaire and they got paid not to say it.  Caretakers are low lifes..</t>
  </si>
  <si>
    <t>I’ve thought this, too.  The billionaires grabbing so much wealth and hoarding it is a perfect analogy to this “lady” hoarding toilet paper, paper towels, napkins.  As long as they get theirs, to hell with the rest of us.</t>
  </si>
  <si>
    <t>Probably a republican area who isnt taking the covid 19 seriously.</t>
  </si>
  <si>
    <t>Exactly _xD83D__xDC4D_</t>
  </si>
  <si>
    <t>The store was only thinking about money....just like the greedy toilet paper customer</t>
  </si>
  <si>
    <t>@N S Anyone who thinks differently either hasn&amp;#39;t been paying attention or they think nothing&amp;#39;s wrong with this kind of behavior.</t>
  </si>
  <si>
    <t>@N S Maybe if you finished a thought it&amp;#39;d be easier for others to know exactly wtf you meant when you, said, &amp;quot;This is America,&amp;quot; or &amp;quot;I didn&amp;#39;t say nothing is wrong with it?&amp;quot;</t>
  </si>
  <si>
    <t>@N S This is America, a democratic republic with a free market (anti democratic) economic system. Simple fucks don&amp;#39;t know Jack shit, and that fact never stops them from running their mouth. Piss on you_xD83D__xDD95_.</t>
  </si>
  <si>
    <t>Correct.  Whoever owns that store could&amp;#39;ve stopped that.</t>
  </si>
  <si>
    <t>This is America.</t>
  </si>
  <si>
    <t>@N S what a pathetic statement , don&amp;#39;t you get if we don&amp;#39;t help each other we will go down together.I,m going to remember Dollar tree when this is over</t>
  </si>
  <si>
    <t>@jonnyboy8000 Stating a fact is pathetic?_xD83D__xDE04__xD83D__xDE04_&lt;br /&gt;Clearly you aren&amp;#39;t too bright....</t>
  </si>
  <si>
    <t>@Atheos B. Sapien &lt;br /&gt;I didn&amp;#39;t say nothing is wrong with it.</t>
  </si>
  <si>
    <t>@N S Hope you don&amp;#39;t need toilet paper</t>
  </si>
  <si>
    <t>@Atheos B. Sapien This is America is all you need to know. It&amp;#39;s a free market economy. That principle can easily be applied in this context. That&amp;#39;s the reality of the times. It&amp;#39;s not rocket science. Good job jumping to negative and irrelevant conclusions. Peace be with you!✌</t>
  </si>
  <si>
    <t>@jonnyboy8000 &lt;br /&gt;I don&amp;#39;t.&lt;br /&gt;I still don&amp;#39;t see how that is relevant to anything I&amp;#39;ve said though..... but suit yourself. Peace be with you too!✌</t>
  </si>
  <si>
    <t>What was Dollar treee  doing selling all that to one person ,shame on them</t>
  </si>
  <si>
    <t>That&amp;#39;s every America.</t>
  </si>
  <si>
    <t>It isn&amp;#39;t Trump&amp;#39;s America.</t>
  </si>
  <si>
    <t>It was morally bankrupt way before Trump, or is a history of slavery, genocide and constant warmongering not immoral? Name the President and google will supply the list of crimes, oh wait.. I forgot with you tossers it only counts if its done to Americans!...</t>
  </si>
  <si>
    <t>Jose: And the America of the Democratic National Criminal Committee.</t>
  </si>
  <si>
    <t>Welcome to Trump&amp;#39;s America: Morally Bankrupt</t>
  </si>
  <si>
    <t>@J Mal Karma exists if you demand it and pray for it!</t>
  </si>
  <si>
    <t>@J Mal I have gotten myself out of some pretty dangerous positions due to prayer. I saw it work first hand in my life many times. Actually my karmic prayer is more like &amp;quot;vengeance is mine sayth the lord&amp;quot; so I let him take care of it and it works.</t>
  </si>
  <si>
    <t>@J Mal Too much coincidence, mathematically impossible. Sorry but I proved there is true spiritual work at play, no wishful thinking or scientific reasoning.</t>
  </si>
  <si>
    <t>@J Mal You have no idea what I understand but you can start by reading my published book on Amazon!</t>
  </si>
  <si>
    <t>Karma doesn&amp;#39;t exist and there is no divine justice. Scumbags prevail and good people suffer all the time. If we care about justice we must work hard for it.</t>
  </si>
  <si>
    <t>@Erik Moss I&amp;#39;m willing to.</t>
  </si>
  <si>
    <t>@Claus Bohm I don&amp;#39;t believe in prayer or karma, so praying for karma seems rather silly.</t>
  </si>
  <si>
    <t>@Claus Bohm Perhaps these experiences can be explained by the plecebo effect and confirmation bias.</t>
  </si>
  <si>
    <t>@Claus Bohm You should look into those things, because they way you describe them show that you don&amp;#39;t really understand them.</t>
  </si>
  <si>
    <t>@Claus Bohm No thanks. Take care.</t>
  </si>
  <si>
    <t>Karma was introduced in India as a way to keep the poor compliant.  It was basically telling people to accept their lot because they would get justice in another world.  Don&amp;#39;t wait for karma.  Get angry.</t>
  </si>
  <si>
    <t>Karma is bullshit unless its instant karma.</t>
  </si>
  <si>
    <t>joan anthony exactly, no different than the christian ‘meek shall inherit the earth’ nonsense</t>
  </si>
  <si>
    <t>@Shaun Hensley since you have figured out the makings of the universe in all your brilliance plz share this knowledge with the rest of us.</t>
  </si>
  <si>
    <t>@joan anthony actually no. You are thinking from your western understanding of it. It is a whole lot more complicated than tht. You are thinking from the point of the British colonialism treatment and view of india. As for this woman she sends out greed it will snap back and hit her in the ass. Simple physics. No religious views involved. Wht goes around comes around. You think these old sayings have no meaning? You think you are the epitome of man&amp;#39;s intelligence? The is fucking hilarious if it wasn&amp;#39;t so bloody sad. Be safe.</t>
  </si>
  <si>
    <t>Yup. Dysentery.</t>
  </si>
  <si>
    <t>Dollar tree should have limited sales. Woman will get her karma.</t>
  </si>
  <si>
    <t>Exactly. Kroger has had limits on items (hand sanitizer, Clorox wipes, lysol) for about a month now.</t>
  </si>
  <si>
    <t>Credit where due, part of the responsibility rests on the store who let her do it. If she wanted to make a scene, that&amp;#39;s when you get the law involved. Retailers don&amp;#39;t HAVE to sell you shit.</t>
  </si>
  <si>
    <t>@Gamer4LIfe_07 You cannot lock someone up for NOT breaking the law lol.&lt;br /&gt;It&amp;#39;s inconsiderate...not illegal.</t>
  </si>
  <si>
    <t>@Erik Moss Where in America can you be arrested for legally buying what you can afford?</t>
  </si>
  <si>
    <t>@Erik Moss That doesn&amp;#39;t answer my question.</t>
  </si>
  <si>
    <t>@Matt Lilly Agreed. If she doesn&amp;#39;t stay within the 10% margin. &lt;br /&gt;But asserting that she should bee arrested for a legal purchase doesn&amp;#39;t make sense.</t>
  </si>
  <si>
    <t>@Erik Moss &lt;br /&gt;There should... but being that this is America, people (especially those on the right) would start complaining about socialism and communism and about martial law being enforced and what not like they have already; bit it&amp;#39;s the most efficient way to ensure fair distribution.</t>
  </si>
  <si>
    <t>The woman filming sounds familiar</t>
  </si>
  <si>
    <t>N S the last in the video said that she’d resale the items the she bought.</t>
  </si>
  <si>
    <t>I hope someone recognises her.  The film wasn&amp;#39;t very clear but a couple like this with that van - someone must know who they are.  I would definnitely report them.  Hopefully people will.</t>
  </si>
  <si>
    <t>@joan anthony agreed. @Matt Lilly I also agree that woman needs to be locked up for buying up all those essential supplies! That&amp;#39;s just cold hearted.</t>
  </si>
  <si>
    <t>@N S It&amp;#39;s probably legal to BUY all that toilet paper. She hasn&amp;#39;t committed a crime YET. But as soon as she tries to sell it and price gouge, she can be charged.</t>
  </si>
  <si>
    <t>I believe this was in Florida. Price gouging during a state of emergency is illegal in the state of Florida. I encourage anyone witnessing anyone selling commodities at inflated prices call the police. Hopefully this woman will soon be doing time.</t>
  </si>
  <si>
    <t>jay0571 she is the kind itching to use her gun i am sure. Pathetic woman.</t>
  </si>
  <si>
    <t>ki G yeah? Well she isn’t the only armed person in fla.</t>
  </si>
  <si>
    <t>Well it is florida. I got a feeling someone gonna get robbed. Neighborhood justice!!</t>
  </si>
  <si>
    <t>You always get some.  They might not like what these people are doing.&lt;br /&gt;YouTube still counts it as a watch so it helps with the algorithm that pushes videos up the recommends.</t>
  </si>
  <si>
    <t>Why 4 people disliked this? LMAO</t>
  </si>
  <si>
    <t>Please get in touch with the food banks in your area. Also many churches have food and basic necessity banks. Please let your needs be known and please take care.</t>
  </si>
  <si>
    <t>cookie baranek&lt;br /&gt;For every slimeball that takes advantage of their neighbors in time of need, there are two who will help if you reach out. Remember the depression stories of ordinary people feeding homeless railroad tramps, unemployed through no fault of their own? Most people will share what little they have in times like these. &lt;br /&gt;Don&amp;#39;t let pride stop you from asking someone for help. To everyone else: Look around for neighbors who may be in worse shape than you, and offer to share.</t>
  </si>
  <si>
    <t>Don&amp;#39;t give up. I know where you&amp;#39;re at. I&amp;#39;m disabled due to a Traumatic Brain Injury. EBT benefits are already gone &amp;amp; if my 81-year old Mom is sending me money so I can buy food to get me through until April. Please don&amp;#39;t give up. Reach out to others for help. We must swallow our pride and  seek help &amp;amp; accept help from others. Please don&amp;#39;t give up _xD83D__xDC9A_</t>
  </si>
  <si>
    <t>Are there not any MUTUAL AID groups in your area? Since you are on line do a search, I know on both sides of the pond there are mutual aid groups as I have been sharing them, try searching Anarchists Black Cross they are informing about them...</t>
  </si>
  <si>
    <t>@Renee Lynda Martinez try searching for Mutual Aid groups Anarchist Black Cross can help, the reaching out started ages ago!...</t>
  </si>
  <si>
    <t>cookie baranek Do you have the Nextdoor app in your area? If you post about your situation there, you may be surprised at how many people in your community want to help out.</t>
  </si>
  <si>
    <t>@Carol McKee Some will, most won&amp;#39;t. There&amp;#39;s a reason John Steinbeck&amp;#39;s &amp;quot;Grapes of Wrath&amp;quot;  won the Nobel Prize. Read it if you haven&amp;#39;t yet. Read it again if you have.</t>
  </si>
  <si>
    <t>I&amp;#39;m a disabled senior and I don&amp;#39;t know how I&amp;#39;m going to make it through this pandemic on food stamps, they are not running the sales and I can&amp;#39;t find the house brands to stretch the little amount food stamps gives me. It&amp;#39;s just not worth the fight anymore.</t>
  </si>
  <si>
    <t>Doxing  is bullshit.  But, you&amp;#39;re completely right about the store&amp;#39;s management.</t>
  </si>
  <si>
    <t>All of them.  The store for selling it.  Them for buying it.  The police too if they don&amp;#39;t arrest them.</t>
  </si>
  <si>
    <t>Stores dam fault for not setting limits</t>
  </si>
  <si>
    <t>Its not Tulsis fault people are stupid.Right Robert?</t>
  </si>
  <si>
    <t>Give her address. The management should be fired.</t>
  </si>
  <si>
    <t>Only in that she leaves children alone.  Otherwise I would call it a wash.</t>
  </si>
  <si>
    <t>Biden would be worse than Pelosi if he was in office. Right, Tulsi?</t>
  </si>
  <si>
    <t>Julia: Yes. This Democrat for 50 years is going to leave the ballot blank in the president spot. I feel this is the only &amp;quot;vote&amp;quot; I have anymore. Maybe a large group will feel this is the way to send a message to the DNC.</t>
  </si>
  <si>
    <t>Well said Tim.   I will never vote Biden.   I was hoping for Bernie.   That lady buying all that toilet paper is so stupid.  If she gets sick I hope the toilet paper saves her.   It doesn&amp;#39;t matter how much money you have there&amp;#39;s no cure</t>
  </si>
  <si>
    <t>He didn&amp;#39;t say that about just Americans but young Americans, you know people whose adult lives are just starting yet many of them have been working since high school to help their parents or to get some money to go to college and not take on too much debt, no 0 debt just slightly less. But screw them says Joe, guess if he can&amp;#39;t feel them up they&amp;#39;re useless to him.</t>
  </si>
  <si>
    <t>Not only were we never that way but Joe was never that way based on his voting records as well as his own words. When asked about the American people having it tough he said that he had no sympathy. &amp;quot;Give me a break&amp;quot;.</t>
  </si>
  <si>
    <t>Trickle down &amp;quot;I&amp;#39;ve got mine, Jack! Go get your own.&amp;quot;</t>
  </si>
  <si>
    <t>It&amp;#39;s trickle down greed. Trickle down &amp;quot;F You&amp;quot;. Trickle down &amp;quot;every man for himself&amp;quot;. Trickle down &amp;quot;grab and hustle&amp;quot;.</t>
  </si>
  <si>
    <t>Sometimes, a good old public shaming is the best that can be done.</t>
  </si>
  <si>
    <t>Oh, do I agree with you. A large part of us are good human beings. But the percentage that aren&amp;#39;t good still exists. What do we do about them?</t>
  </si>
  <si>
    <t>Yes, if she had claimed that, they should ring the Home and check but she did not seem charitable.</t>
  </si>
  <si>
    <t>If that lady was in fact bringing all that product to a retirement home that was forgotten by the government or the private owners stopped bothering, fine. But based on her attitude and smugness, I&amp;#39;m thinking that&amp;#39;s wishful thinking. However, I do agree that store should not have sold all that product to a single person, regardless of the why.</t>
  </si>
  <si>
    <t>Let&amp;#39;s hope she gets the sh*ts so bad she needs all that paper!</t>
  </si>
  <si>
    <t>Christians 101, going to the Dollar Tree buying up stock .  Wish the she could have interviewed the Dollar Tree Manger.</t>
  </si>
  <si>
    <t>Police should show up and make them give it away to homeless shelters.....</t>
  </si>
  <si>
    <t>@Kenneth Cadwell also a great  idea.</t>
  </si>
  <si>
    <t>Smdh dollar tree should be ashamed of themselves! That woman and her husband should get arrested or give it to people who need hand sanitizer!</t>
  </si>
  <si>
    <t>Yes thank you Tim because I was really really having a hard time hanging on to feeling good about being an American.</t>
  </si>
  <si>
    <t>You are an excellet human being, Tim Black and make me proud to be an American.</t>
  </si>
  <si>
    <t>Still selfish. My mom owns residential care home that houses people in assisted living, she still would never do this.</t>
  </si>
  <si>
    <t>@Dr Dermix Girl . No man lol.  Billionaires have multiple properties. Normally, they live in the city.  They hire caretakers to oversee their properties while they&amp;#39;re gone.  In my experience, those people are often grimy.  You can only undercut so far before you&amp;#39;re subtly bad mouthing everybody else. And eventually, the last people standing are lazy cut throats with no kind of shame...</t>
  </si>
  <si>
    <t>They&amp;#39;re probably care takers. Those are for billionaires, most likely.  They could be reselling them but they don&amp;#39;t look like they have the spending cash...</t>
  </si>
  <si>
    <t>I read a W.H.O. report that Iraq is permanently contaminated with radioactive poisoning from US depleted uranium shells. Maybe she got a dose.</t>
  </si>
  <si>
    <t>Forget about Jimmy, he&amp;#39;s TFG (too far gone).</t>
  </si>
  <si>
    <t>Gita: Well stated. From a veteran of the Vietnam War Crime.</t>
  </si>
  <si>
    <t>I really hope Jimmy comes to his senses</t>
  </si>
  <si>
    <t>Tulsi said on the Jimmy Dore show today: &amp;quot;There&amp;#39;s great honor in serving our country and whether you&amp;#39;re a kid that&amp;#39;s graduating or someone from any age, and you make that decision to go and serve our country NO MATTER THE POLITICAL CIRCUMSTANCES, that is a very rare  and special thing.&amp;quot; And Jimmy Dore said NOTHING. &lt;br /&gt;I said to myself: Yeah, Johnson. It must be a very rare and special thing to participate in genocides and get away with it. I mean this is some straight up Joseph Goebbels type shit.</t>
  </si>
  <si>
    <t>Flash Gordon whataboutism</t>
  </si>
  <si>
    <t>You forgot: Goes MIA when action is needed on global pandemic and economic crises.&lt;br /&gt;&lt;br /&gt;When you’re running for President, shouldn’t you lead the charge and keep all Americans safe, especially if the current President thinks it’s all a hoax to get him out of office? How do some vague platitudes and a veto on Medicare For All, help in any way?</t>
  </si>
  <si>
    <t>@Flash Gordon Ooooook what does that have to do with Joe Biden?</t>
  </si>
  <si>
    <t>@Khrysalis That is what a president and a leader should do. The owner class who control our lives don&amp;#39;t want a leader for president. Just someone who gives them the tax breaks, cheap labor, and deregulation that they want. Nothing else matters to them.</t>
  </si>
  <si>
    <t>Joe Biden: &amp;quot;We need to care for each other and have empathy again&amp;quot;&lt;br /&gt;&lt;br /&gt;Also Joe Biden: Challenges a union worker to a fight&lt;br /&gt;&lt;br /&gt;Says he has no empathy for millennials&lt;br /&gt;&lt;br /&gt;Insults someone at a town hall by calling him fat&lt;br /&gt;&lt;br /&gt;Calls someone a lying dog-faced pony soldier&lt;br /&gt;&lt;br /&gt;Is the most integral Democrat for getting us into the Iraq war, wasting trillions of dollars and thousands of lives&lt;br /&gt;&lt;br /&gt;Supported a crime bill that destroyed the lives of countless black and brown people. &lt;br /&gt;&lt;br /&gt;We see what you mean Joe</t>
  </si>
  <si>
    <t>Razor sharp.</t>
  </si>
  <si>
    <t>Imagine whats happening with even greedier people on wall street. This is at the damn dollar store.</t>
  </si>
  <si>
    <t>@B. Greene Jesus was never their Christ to begin with. &lt;b&gt;Their  Christ&lt;/b&gt; is a made up White guy, like Santa Claus. In reality, both Jesus and St. Nicholas were brown skinned Middle Easterns</t>
  </si>
  <si>
    <t>Well we must allow Muslims the freedom of religion.</t>
  </si>
  <si>
    <t>olov244 “I like your Christ. But I do not like your Christians; they are so unlike your Christ” Mahatma Gandhi to an American reporter.</t>
  </si>
  <si>
    <t>&amp;quot;Christian nation&amp;quot; - I wish it was</t>
  </si>
  <si>
    <t>@Nunnles: That is true but even state gov&amp;#39;t draw a line for the free market during a state/national emergency to not appear completely heartless but if a working class family is having a medical emergency outside such a crisis meds being $2000+ is just the market doing it&amp;#39;s thing.</t>
  </si>
  <si>
    <t>Price gouging during a State of emergency is illegal in most areas. Perfect representation of a Trump Humper!</t>
  </si>
  <si>
    <t>BUILD THE WALL_xD83D__xDCE2_</t>
  </si>
  <si>
    <t>_xD83D__xDD10_ Florida up, do not let any people leave Florida.</t>
  </si>
  <si>
    <t>Sean Moroney I wish I was back in Ireland!</t>
  </si>
  <si>
    <t>@doomstar 24 the situation isn&amp;#39;t ideal here but better organized than the States.</t>
  </si>
  <si>
    <t>In Ireland, you are only allowed buy 2 packs per person. Exactly for this reason.</t>
  </si>
  <si>
    <t>I&amp;#39;ve stopped using the B words and the C word. I only use the A word so as not to offend_xD83D__xDE00_.</t>
  </si>
  <si>
    <t>Keith Warner that’s a good rule. Anyone can be an asshole!</t>
  </si>
  <si>
    <t>@Paddle Duck omg, I love it!_xD83D__xDC4D__xD83D__xDE04_</t>
  </si>
  <si>
    <t>@Keith Warner I hear you and agree.  But, damn, that woman pissed me off!_xD83D__xDE04_</t>
  </si>
  <si>
    <t>That woman packing her car with endless boxes is nothing but a four-letter word that begins with a C</t>
  </si>
  <si>
    <t>Austin Zappas that’d be ok if someone’s a libertarian, right??_xD83D__xDE02_</t>
  </si>
  <si>
    <t>Not that I would ever do it, but how long before someone rolls up on that lady and straight up robs her of everything she has? Tick tick tick... ..tick tick tick</t>
  </si>
  <si>
    <t>Anyone else notice it&amp;#39;s always trump supporters????</t>
  </si>
  <si>
    <t>Also, I made this comment before the woman mentioned it in the video......some shit right???</t>
  </si>
  <si>
    <t>And we&amp;#39;ll continue to have out of this world expensive healthcare sucks for the people who are sick infrastructure will continue to be screwed up veterans will still be sleeping under bridges most Americans will still be struggling to make ends meet with $7.25/hr minimum wage we&amp;#39;ll still be giving our tax dollars to kill innocent civilians in their country for their natural resources such a great country right?</t>
  </si>
  <si>
    <t>Lord Teddy Bear</t>
  </si>
  <si>
    <t>doomstar 24</t>
  </si>
  <si>
    <t>JonnyB</t>
  </si>
  <si>
    <t>Ben Reilly</t>
  </si>
  <si>
    <t>R U POed</t>
  </si>
  <si>
    <t>Ray Kirkham</t>
  </si>
  <si>
    <t>Mehrdad Dalamie</t>
  </si>
  <si>
    <t>Z K</t>
  </si>
  <si>
    <t>Leslie Wheeler</t>
  </si>
  <si>
    <t>73151cb</t>
  </si>
  <si>
    <t>Make It Make Sense</t>
  </si>
  <si>
    <t>terry helton</t>
  </si>
  <si>
    <t>joan anthony</t>
  </si>
  <si>
    <t>Gamer4LIfe_07</t>
  </si>
  <si>
    <t>Brian Johnson</t>
  </si>
  <si>
    <t>Nakaelena</t>
  </si>
  <si>
    <t>Lawrence Taylor</t>
  </si>
  <si>
    <t>Ron Porter</t>
  </si>
  <si>
    <t>SnapShot's Reviews</t>
  </si>
  <si>
    <t>Don Deering</t>
  </si>
  <si>
    <t>ghenulo</t>
  </si>
  <si>
    <t>oandersontech</t>
  </si>
  <si>
    <t>Marian Foreman</t>
  </si>
  <si>
    <t>Hans Moelders</t>
  </si>
  <si>
    <t>gwg5640</t>
  </si>
  <si>
    <t>crash bandicoot</t>
  </si>
  <si>
    <t>jamerican347</t>
  </si>
  <si>
    <t>Padriac Pearse</t>
  </si>
  <si>
    <t>BOUGHT BOT</t>
  </si>
  <si>
    <t>The Dynast Queen</t>
  </si>
  <si>
    <t>JasonOnEarth</t>
  </si>
  <si>
    <t>JB Estrada</t>
  </si>
  <si>
    <t>gabe687</t>
  </si>
  <si>
    <t>Target Store</t>
  </si>
  <si>
    <t>micky</t>
  </si>
  <si>
    <t>Kath Casey</t>
  </si>
  <si>
    <t>Debbie Munn</t>
  </si>
  <si>
    <t>Kenneth McNeil</t>
  </si>
  <si>
    <t>Sislertx</t>
  </si>
  <si>
    <t>Giles Habibula</t>
  </si>
  <si>
    <t>Kyle Lovell</t>
  </si>
  <si>
    <t>Jinn Doe</t>
  </si>
  <si>
    <t>Richard Smith</t>
  </si>
  <si>
    <t>JGCR 45</t>
  </si>
  <si>
    <t>Shawn west</t>
  </si>
  <si>
    <t>Missy Rivas</t>
  </si>
  <si>
    <t>mike lomez</t>
  </si>
  <si>
    <t>angela bluebird60</t>
  </si>
  <si>
    <t>Julie Levinge</t>
  </si>
  <si>
    <t>Malcolm Marzo</t>
  </si>
  <si>
    <t>Reginald Stubtoe</t>
  </si>
  <si>
    <t>Freedom Fighter57</t>
  </si>
  <si>
    <t>Terry Tater</t>
  </si>
  <si>
    <t>asbeautifulasasunset</t>
  </si>
  <si>
    <t>TheBlazersfan22</t>
  </si>
  <si>
    <t>jaylovespti</t>
  </si>
  <si>
    <t>HORSE - D</t>
  </si>
  <si>
    <t>Atheos B. Sapien</t>
  </si>
  <si>
    <t>N S</t>
  </si>
  <si>
    <t>jonnyboy8000</t>
  </si>
  <si>
    <t>x3nine</t>
  </si>
  <si>
    <t>Keith Warner</t>
  </si>
  <si>
    <t>Kato Lee</t>
  </si>
  <si>
    <t>Jose Acevedo</t>
  </si>
  <si>
    <t>Claus Bohm</t>
  </si>
  <si>
    <t>J Mal</t>
  </si>
  <si>
    <t>Paul Romano</t>
  </si>
  <si>
    <t>Shaun Hensley</t>
  </si>
  <si>
    <t>sharon anderson</t>
  </si>
  <si>
    <t>Dr Dermix Girl</t>
  </si>
  <si>
    <t>Celieboo</t>
  </si>
  <si>
    <t>Drae Corben</t>
  </si>
  <si>
    <t>kiss butt</t>
  </si>
  <si>
    <t>Matt Lilly</t>
  </si>
  <si>
    <t>ki G</t>
  </si>
  <si>
    <t>jay0571</t>
  </si>
  <si>
    <t>Khalid</t>
  </si>
  <si>
    <t>Carol McKee</t>
  </si>
  <si>
    <t>Renee Lynda Martinez</t>
  </si>
  <si>
    <t>B. Greene</t>
  </si>
  <si>
    <t>cookie baranek</t>
  </si>
  <si>
    <t>665 The Neighbor of the Beast</t>
  </si>
  <si>
    <t>WrathBliss Media'n'Music</t>
  </si>
  <si>
    <t>Michael Lane</t>
  </si>
  <si>
    <t>Robert Burnett</t>
  </si>
  <si>
    <t>Julia Montalvo</t>
  </si>
  <si>
    <t>Penny Astalos</t>
  </si>
  <si>
    <t>Nia Garcia</t>
  </si>
  <si>
    <t>Debi Powell</t>
  </si>
  <si>
    <t>David Soll</t>
  </si>
  <si>
    <t>Rockin' Bliss</t>
  </si>
  <si>
    <t>Peter Plantcity</t>
  </si>
  <si>
    <t>Kenneth Cadwell</t>
  </si>
  <si>
    <t>Janet Baker</t>
  </si>
  <si>
    <t>impatience1</t>
  </si>
  <si>
    <t>Steve Warwick</t>
  </si>
  <si>
    <t>Bhagavad Gita</t>
  </si>
  <si>
    <t>Khrysalis</t>
  </si>
  <si>
    <t>Gengkis Khan</t>
  </si>
  <si>
    <t>Liza Tanzawa</t>
  </si>
  <si>
    <t>Brian Loftus</t>
  </si>
  <si>
    <t>babajohn100</t>
  </si>
  <si>
    <t>John Challeen</t>
  </si>
  <si>
    <t>olov244</t>
  </si>
  <si>
    <t>scowlistic</t>
  </si>
  <si>
    <t>Sean Moroney</t>
  </si>
  <si>
    <t>Paddle Duck</t>
  </si>
  <si>
    <t>Lisa Navarro</t>
  </si>
  <si>
    <t>Austin Zappas</t>
  </si>
  <si>
    <t>Mike Lewis</t>
  </si>
  <si>
    <t>UgxuyU6NrooV3GfOb2V4AaABAg</t>
  </si>
  <si>
    <t>Ugy0fE2Gq9hLvEgPXxR4AaABAg</t>
  </si>
  <si>
    <t>UgwZBFKRI9M0JfeVcxx4AaABAg</t>
  </si>
  <si>
    <t>Ugx8TLpuMuxFH6Wzl2d4AaABAg</t>
  </si>
  <si>
    <t>UgwV93MZunoWArLU0Z54AaABAg</t>
  </si>
  <si>
    <t>UgwEA__HYCi2nvwUmst4AaABAg</t>
  </si>
  <si>
    <t>UgyCKMkc_f79j-15Bvt4AaABAg</t>
  </si>
  <si>
    <t>Ugy_ZQJ1Q7ZgWZ7MvJB4AaABAg</t>
  </si>
  <si>
    <t>UgwbmjyVM1SSIJtccTR4AaABAg</t>
  </si>
  <si>
    <t>UgwBnq8hl__uGdQv1l94AaABAg</t>
  </si>
  <si>
    <t>UgyQO_Gy0KIWuEdpoIJ4AaABAg</t>
  </si>
  <si>
    <t>Ugy3A7yQ2XIhvHGIQeZ4AaABAg</t>
  </si>
  <si>
    <t>UgxscR31dGrT41O9MHJ4AaABAg</t>
  </si>
  <si>
    <t>Ugz5WT3CRwxrncMSDhV4AaABAg</t>
  </si>
  <si>
    <t>Ugw5gQXdZ-8X2kWv4Ex4AaABAg</t>
  </si>
  <si>
    <t>Ugy-mFlZA7FrTNDa_D14AaABAg</t>
  </si>
  <si>
    <t>UgzvTwMhzeLv-VjJGdF4AaABAg</t>
  </si>
  <si>
    <t>Ugx-t-sPLZ_MeIXPx_t4AaABAg</t>
  </si>
  <si>
    <t>UgxEAUv5au86OLO6Gyh4AaABAg</t>
  </si>
  <si>
    <t>Ugw8IPW35mNaaMyMQXB4AaABAg</t>
  </si>
  <si>
    <t>Ugxb1Xwy8iHhSQooja14AaABAg</t>
  </si>
  <si>
    <t>UgycVnY7FXgXZo-dev14AaABAg</t>
  </si>
  <si>
    <t>Ugw-J1lLpAAnh12r75p4AaABAg</t>
  </si>
  <si>
    <t>UgwXFOc_R4zUlBSX8Ft4AaABAg</t>
  </si>
  <si>
    <t>UgxgJMOE6GhTBrIOuaN4AaABAg</t>
  </si>
  <si>
    <t>Ugxa5IXTA3Kow1-fW_d4AaABAg</t>
  </si>
  <si>
    <t>UgzuWe-yv5R8gCESIbB4AaABAg</t>
  </si>
  <si>
    <t>Ugxp9o-ZIL__RP25syx4AaABAg</t>
  </si>
  <si>
    <t>UgwNJRpB4Azq-cbnvEV4AaABAg</t>
  </si>
  <si>
    <t>UgxKUOMwTJ2EUFlidfl4AaABAg</t>
  </si>
  <si>
    <t>Ugw3bimfKycvcDiTuZx4AaABAg</t>
  </si>
  <si>
    <t>UgxjXnHpVHuAr0fCcXl4AaABAg</t>
  </si>
  <si>
    <t>Ugzfdor51HAEjMAkdQd4AaABAg</t>
  </si>
  <si>
    <t>UgwpmAO3L1ztMiTB50V4AaABAg</t>
  </si>
  <si>
    <t>Ugx8l-CYHaEcZ0KgOFJ4AaABAg</t>
  </si>
  <si>
    <t>UgzZ5QK0DKYaz1xWsOp4AaABAg</t>
  </si>
  <si>
    <t>Ugydubpaz11-kj2HDyt4AaABAg</t>
  </si>
  <si>
    <t>UgxGjnt89DsFeiAT-yF4AaABAg</t>
  </si>
  <si>
    <t>Ugx_mKqsnnJCza7CVEp4AaABAg</t>
  </si>
  <si>
    <t>UgzaVXbA29sIERHGZfF4AaABAg</t>
  </si>
  <si>
    <t>UgzEhUlTg2OVVUpzMvV4AaABAg</t>
  </si>
  <si>
    <t>Ugxp5l3KE_qROgOys454AaABAg</t>
  </si>
  <si>
    <t>UgyTrEE55ecSjEANfzJ4AaABAg</t>
  </si>
  <si>
    <t>UgzRODoYmxyLA1Ps2Sp4AaABAg</t>
  </si>
  <si>
    <t>L3Ob_r4yk60</t>
  </si>
  <si>
    <t>TBTV</t>
  </si>
  <si>
    <t>This channel is going to be filled with original songs and videos recorded at home by me and my friends.</t>
  </si>
  <si>
    <t>America’s Most watched Black Independent Media on the Left! Show Host, Social Critic, Pundit. Owner of TBTV. Fighter for Humanity. #timblackshow" delivers News For People Who Can't Stand The News!". Tim Black is a host, speaker, journalist and activist who believes we must take back Media from the Big Corporations and speak truth to power. Tim Black has several shows on politics, breaking news, culture and race. Tim Black dominates on social media with large followings on Twitter, Facebook, YouTube, ROKU and Instagram. Tim has interviewed politicians, activists, icons and comedians and other interesting public figures. Subscribe to this channel today so you don't miss a thing. We need more truth. Less spin!  "Don't Let Nobody Take Your Cornbread!"
Send products, correspondence, donations and love to:
PO Box 701
Bryans Rd, MD 20616</t>
  </si>
  <si>
    <t>Knowledge sates anger and gives it direction. Use it to fuel you, not to guide you.</t>
  </si>
  <si>
    <t>This channel primarily concerns Positive Character Education and brief discussions on how to truly be a beautiful human being.</t>
  </si>
  <si>
    <t>Sports/Political enthusiast</t>
  </si>
  <si>
    <t>Subjective but informed musical selections. The most detailed lists are devoted to the blues but I've made others related to other music I've listened to throughout my life.
Here's page of well-informed playlists posted by hithard55: https://www.youtube.com/user/hithard55/playlists</t>
  </si>
  <si>
    <t>Guten Tag. Ich schaue Videos auf Deutsch zu, besonders mein Deutsch zu verbessern. Englisch ist meine Muttersprache und ich habe kein Talent für Sprachen, aber es ist mein lebenslänglicher Traum, Deutsch zu sprechen, also entschuldige meine Fehler bitte. Ich habe wenige Videos.</t>
  </si>
  <si>
    <t>Just sharing  the interesting people,families,ideas,and videos that I find on You Tube.</t>
  </si>
  <si>
    <t>Review and make videos of everything that interests me. 
www.jamerican.net</t>
  </si>
  <si>
    <t>Originally this channel was for sci fi but I'm also interested in the SAD (Social Anxiety Disorders) community. That's all for now. Have fun with the YouTube.</t>
  </si>
  <si>
    <t>Silly Fangirl. Shit Designer. Self-appointed Queen.</t>
  </si>
  <si>
    <t>Trying to survive</t>
  </si>
  <si>
    <t>Born in the 90's but stuck in the 80's!</t>
  </si>
  <si>
    <t>Just little old me sharing my life with you.</t>
  </si>
  <si>
    <t>Music, Sketch/Improv Acting/Creations/Blunders/Beauty by WrathBliss aka Timothy D.M. of Denver/Aurora, Colorado.</t>
  </si>
  <si>
    <t>Vegan Life. Love the Animals don't eat them</t>
  </si>
  <si>
    <t>Revolution is necessary. Let make a change</t>
  </si>
  <si>
    <t>timstakelive</t>
  </si>
  <si>
    <t>dondeering</t>
  </si>
  <si>
    <t>jasononearth</t>
  </si>
  <si>
    <t>dandeleoninthefield</t>
  </si>
  <si>
    <t>joan</t>
  </si>
  <si>
    <t>anthony</t>
  </si>
  <si>
    <t>tick</t>
  </si>
  <si>
    <t>florida</t>
  </si>
  <si>
    <t>claus</t>
  </si>
  <si>
    <t>trickle</t>
  </si>
  <si>
    <t>empathy</t>
  </si>
  <si>
    <t>limits</t>
  </si>
  <si>
    <t>erik</t>
  </si>
  <si>
    <t>moss</t>
  </si>
  <si>
    <t>bohm</t>
  </si>
  <si>
    <t>christian</t>
  </si>
  <si>
    <t>millennials</t>
  </si>
  <si>
    <t>class</t>
  </si>
  <si>
    <t>product</t>
  </si>
  <si>
    <t>debt</t>
  </si>
  <si>
    <t>dnc</t>
  </si>
  <si>
    <t>management</t>
  </si>
  <si>
    <t>pride</t>
  </si>
  <si>
    <t>share</t>
  </si>
  <si>
    <t>mutual</t>
  </si>
  <si>
    <t>sell</t>
  </si>
  <si>
    <t>charged</t>
  </si>
  <si>
    <t>prayer</t>
  </si>
  <si>
    <t>simple</t>
  </si>
  <si>
    <t>billionaires</t>
  </si>
  <si>
    <t>koch</t>
  </si>
  <si>
    <t>olds</t>
  </si>
  <si>
    <t>keith</t>
  </si>
  <si>
    <t>warner</t>
  </si>
  <si>
    <t>christians</t>
  </si>
  <si>
    <t>brown</t>
  </si>
  <si>
    <t>fight</t>
  </si>
  <si>
    <t>hall</t>
  </si>
  <si>
    <t>democrat</t>
  </si>
  <si>
    <t>iraq</t>
  </si>
  <si>
    <t>flash</t>
  </si>
  <si>
    <t>gordon</t>
  </si>
  <si>
    <t>tulsi</t>
  </si>
  <si>
    <t>dore</t>
  </si>
  <si>
    <t>honor</t>
  </si>
  <si>
    <t>rare</t>
  </si>
  <si>
    <t>participate</t>
  </si>
  <si>
    <t>wishful</t>
  </si>
  <si>
    <t>exists</t>
  </si>
  <si>
    <t>college</t>
  </si>
  <si>
    <t>gouging</t>
  </si>
  <si>
    <t>cookie</t>
  </si>
  <si>
    <t>baranek</t>
  </si>
  <si>
    <t>disabled</t>
  </si>
  <si>
    <t>accept</t>
  </si>
  <si>
    <t>neighbors</t>
  </si>
  <si>
    <t>stamps</t>
  </si>
  <si>
    <t>searching</t>
  </si>
  <si>
    <t>cross</t>
  </si>
  <si>
    <t>counts</t>
  </si>
  <si>
    <t>lilly</t>
  </si>
  <si>
    <t>complaining</t>
  </si>
  <si>
    <t>gamer4life_07</t>
  </si>
  <si>
    <t>involved</t>
  </si>
  <si>
    <t>lysol</t>
  </si>
  <si>
    <t>owns</t>
  </si>
  <si>
    <t>exist</t>
  </si>
  <si>
    <t>british</t>
  </si>
  <si>
    <t>india</t>
  </si>
  <si>
    <t>fucking</t>
  </si>
  <si>
    <t>morally</t>
  </si>
  <si>
    <t>bankrupt</t>
  </si>
  <si>
    <t>atheos</t>
  </si>
  <si>
    <t>sapien</t>
  </si>
  <si>
    <t>jumping</t>
  </si>
  <si>
    <t>conclusions</t>
  </si>
  <si>
    <t>properties</t>
  </si>
  <si>
    <t>caretakers</t>
  </si>
  <si>
    <t>napkins</t>
  </si>
  <si>
    <t>bank</t>
  </si>
  <si>
    <t>trumper</t>
  </si>
  <si>
    <t>julie</t>
  </si>
  <si>
    <t>leukaemia</t>
  </si>
  <si>
    <t>charging</t>
  </si>
  <si>
    <t>manager</t>
  </si>
  <si>
    <t>employee</t>
  </si>
  <si>
    <t>kyle</t>
  </si>
  <si>
    <t>lovell</t>
  </si>
  <si>
    <t>types</t>
  </si>
  <si>
    <t>dems</t>
  </si>
  <si>
    <t>donating</t>
  </si>
  <si>
    <t>church</t>
  </si>
  <si>
    <t>jump</t>
  </si>
  <si>
    <t>imposing</t>
  </si>
  <si>
    <t>crash</t>
  </si>
  <si>
    <t>bandicoot</t>
  </si>
  <si>
    <t>gropes</t>
  </si>
  <si>
    <t>jonnyb</t>
  </si>
  <si>
    <t>bottles</t>
  </si>
  <si>
    <t>cashier</t>
  </si>
  <si>
    <t>calvinist</t>
  </si>
  <si>
    <t>https://www.youtube.com/watch?v=L3Ob_r4yk60</t>
  </si>
  <si>
    <t>https://www.youtube.com/watch?v=L3Ob_r4yk60 https://www.youtube.com/watch?v=</t>
  </si>
  <si>
    <t>https://www.youtube.com/watch?v= https://www.youtube.com/watch?v=L3Ob_r4yk60</t>
  </si>
  <si>
    <t>store people paper christ american dollar florida emergency trump joe</t>
  </si>
  <si>
    <t>people food paper jimmy war koch america read toilet money</t>
  </si>
  <si>
    <t>people bernie store party trump agree biden product thinking jonnyb</t>
  </si>
  <si>
    <t>care people karma president joe claus bohm mal biden lives</t>
  </si>
  <si>
    <t>biden trump people joan anthony joe empathy millennials crash bandicoot</t>
  </si>
  <si>
    <t>america woman dollar agreed tree arrested toilet paper erik moss</t>
  </si>
  <si>
    <t>store people hand sanitizer lot cashier shame joan anthony customer</t>
  </si>
  <si>
    <t>people pandemic box donating shelter nice person jump trump filming</t>
  </si>
  <si>
    <t>tick trickle word keith warner woman</t>
  </si>
  <si>
    <t>joan,anthony</t>
  </si>
  <si>
    <t>dollar,tree</t>
  </si>
  <si>
    <t>tick,tick</t>
  </si>
  <si>
    <t>joe,biden</t>
  </si>
  <si>
    <t>erik,moss</t>
  </si>
  <si>
    <t>claus,bohm</t>
  </si>
  <si>
    <t>mutual,aid</t>
  </si>
  <si>
    <t>keith,warner</t>
  </si>
  <si>
    <t>dollar,store</t>
  </si>
  <si>
    <t>masks,toilet</t>
  </si>
  <si>
    <t>jimmy,dore</t>
  </si>
  <si>
    <t>rare,special</t>
  </si>
  <si>
    <t>food,stamps</t>
  </si>
  <si>
    <t>black,cross</t>
  </si>
  <si>
    <t>morally,bankrupt</t>
  </si>
  <si>
    <t>kyle,lovell</t>
  </si>
  <si>
    <t>people,stupid</t>
  </si>
  <si>
    <t>flash,gordon</t>
  </si>
  <si>
    <t>crash,bandicoot</t>
  </si>
  <si>
    <t>trump,biden</t>
  </si>
  <si>
    <t>matt,lilly</t>
  </si>
  <si>
    <t>moss,america</t>
  </si>
  <si>
    <t>atheos,sapien</t>
  </si>
  <si>
    <t>donating,shelter</t>
  </si>
  <si>
    <t>trickle,trickle</t>
  </si>
  <si>
    <t>toilet,paper  dollar,store  dollar,tree  masks,toilet</t>
  </si>
  <si>
    <t>toilet,paper  mutual,aid  jimmy,dore  rare,special  food,stamps  black,cross  morally,bankrupt</t>
  </si>
  <si>
    <t>kyle,lovell  people,stupid</t>
  </si>
  <si>
    <t>claus,bohm  joe,biden  flash,gordon  joan,anthony</t>
  </si>
  <si>
    <t>joan,anthony  crash,bandicoot  trump,biden</t>
  </si>
  <si>
    <t>dollar,tree  toilet,paper  erik,moss  matt,lilly  hand,sanitizer  moss,america  atheos,sapien</t>
  </si>
  <si>
    <t>hand,sanitizer  joan,anthony</t>
  </si>
  <si>
    <t>tick,tick  keith,warner  trickle,trickle</t>
  </si>
  <si>
    <t>continue country expensive healthcare sucks people sick infrastructure screwed veterans</t>
  </si>
  <si>
    <t>calvinist poor rich bernie finished endorsing friend biden mike lewis</t>
  </si>
  <si>
    <t>florida sean moroney ireland stay people leave beto</t>
  </si>
  <si>
    <t>terry helton buying hand sanitizer dollar selling online 20 charged</t>
  </si>
  <si>
    <t>store limit product guy bought 18 000 bottles hand sanitizer</t>
  </si>
  <si>
    <t>joan anthony insane link</t>
  </si>
  <si>
    <t>customer store bags rice cashier told handed issues drama people</t>
  </si>
  <si>
    <t>tim lot corporations fine</t>
  </si>
  <si>
    <t>gamer4life_07 agreed</t>
  </si>
  <si>
    <t>joan anthony blame store mess sickening hall shame rest</t>
  </si>
  <si>
    <t>people feel shame</t>
  </si>
  <si>
    <t>leslie wheeler lot people human race wold died true story</t>
  </si>
  <si>
    <t>18000 fucking disgusting</t>
  </si>
  <si>
    <t>bernie nina 2020 jonnyb hear shit scalping tickets</t>
  </si>
  <si>
    <t>people store trump police children videos hope couple karma arrested</t>
  </si>
  <si>
    <t>agreed woman dollar tree hand sanitizer joan anthony matt lilly</t>
  </si>
  <si>
    <t>people joan anthony researching political history democratic party gop historically</t>
  </si>
  <si>
    <t>empathy hilarious joe biden donald trump caught camera couple millennials</t>
  </si>
  <si>
    <t>johnson joan anthony telling</t>
  </si>
  <si>
    <t>crash bandicoot wait trump biden gonna entertaining</t>
  </si>
  <si>
    <t>joan anthony late capitalism barbaric multiracial class fights harm endure</t>
  </si>
  <si>
    <t>fairness millennials implies people joe includes 60 olds</t>
  </si>
  <si>
    <t>crash bandicoot unapologetic hypocrite</t>
  </si>
  <si>
    <t>snapshot reviews debates</t>
  </si>
  <si>
    <t>yup told quit complaining student debt</t>
  </si>
  <si>
    <t>padriac pearse</t>
  </si>
  <si>
    <t>entre manure</t>
  </si>
  <si>
    <t>packs napkins yesterday shelf gas station grabbed hope da phuck</t>
  </si>
  <si>
    <t>99 cents store sell rolls toilet paper eggs bread morals</t>
  </si>
  <si>
    <t>store americans debt market emergency limits people adult lives starting</t>
  </si>
  <si>
    <t>founding fathers implemented electoral college</t>
  </si>
  <si>
    <t>jump trump filming donating shelter church conclusions selling profit president</t>
  </si>
  <si>
    <t>pretty obvious easily character selfish decent person</t>
  </si>
  <si>
    <t>nice lady box</t>
  </si>
  <si>
    <t>idiots hiding sticks enabled spite debbie dumb</t>
  </si>
  <si>
    <t>trumper land guns escalate pandemic donating shelter started recorder bird</t>
  </si>
  <si>
    <t>lmfao</t>
  </si>
  <si>
    <t>fake joe total corrupt paracite bernie biggest</t>
  </si>
  <si>
    <t>bernie friend joe biden beat trump november</t>
  </si>
  <si>
    <t>bernie perfect time party wrote damn sanders 2020</t>
  </si>
  <si>
    <t>types feel short term taint progressive blame dems losing socialist</t>
  </si>
  <si>
    <t>party kyle lovell bernie supporters voting 3rd pull public relevancy</t>
  </si>
  <si>
    <t>employee stores masks toilet paper reject sale trouble management store</t>
  </si>
  <si>
    <t>store employees supplies fired woman family friend pul jgcr 45</t>
  </si>
  <si>
    <t>yup rugged individualism corporate greed foundations neo liberalism hope crisis</t>
  </si>
  <si>
    <t>capitalism leukaemia war looters arrested behaviour fitter advantage mask daughter</t>
  </si>
  <si>
    <t>julie levinge faith bad live wife hospital</t>
  </si>
  <si>
    <t>food banks depression time touch churches basic necessity care wars</t>
  </si>
  <si>
    <t>feel gita stated veteran vietnam war crime julia democrat 50</t>
  </si>
  <si>
    <t>people arresting petty crimes pandemic walk lemonaid stand box</t>
  </si>
  <si>
    <t>koch bank people brothers brother pushing daises hold monopoly toilet</t>
  </si>
  <si>
    <t>hoarding paper billionaires grabbing wealth perfect analogy lady toilet towels</t>
  </si>
  <si>
    <t>billionaires properties caretakers people correct owns store stopped care takers</t>
  </si>
  <si>
    <t>republican covid 19</t>
  </si>
  <si>
    <t>dollar treee selling person shame hope toilet paper pathetic statement</t>
  </si>
  <si>
    <t>store thinking money greedy toilet paper customer</t>
  </si>
  <si>
    <t>america democratic wrong republic market anti economic simple fucks jack</t>
  </si>
  <si>
    <t>america erik moss law arrested jonnyboy8000 peace atheos sapien people</t>
  </si>
  <si>
    <t>trump america morally bankrupt</t>
  </si>
  <si>
    <t>word stopped offend trickle jack trump america</t>
  </si>
  <si>
    <t>mutual aid searching black cross renee lynda martinez anarchist reaching</t>
  </si>
  <si>
    <t>mal prayer idea understand start reading published book amazon coincidence</t>
  </si>
  <si>
    <t>woman thinking dollar tree limited sales karma joan anthony western</t>
  </si>
  <si>
    <t>claus bohm karma care justice understand experiences explained plecebo confirmation</t>
  </si>
  <si>
    <t>read karma report iraq permanently contaminated radioactive poisoning depleted uranium</t>
  </si>
  <si>
    <t>flash gordon whataboutism hope jimmy senses yeah armed person fla</t>
  </si>
  <si>
    <t>selfish mom owns residential care houses people assisted living yup</t>
  </si>
  <si>
    <t>kroger limits items hand sanitizer clorox wipes lysol month</t>
  </si>
  <si>
    <t>credit responsibility rests store scene law involved retailers sell shit</t>
  </si>
  <si>
    <t>florida price gouging emergency illegal encourage witnessing selling commodities inflated</t>
  </si>
  <si>
    <t>resale items bought woman filming sounds familiar</t>
  </si>
  <si>
    <t>jay0571 itching gun pathetic woman</t>
  </si>
  <si>
    <t>florida feeling gonna robbed neighborhood justice</t>
  </si>
  <si>
    <t>people disliked lmao</t>
  </si>
  <si>
    <t>food stamps disabled senior pandemic running sales house brands stretch</t>
  </si>
  <si>
    <t>neighbors people share cookie baranek slimeball takes advantage time reach</t>
  </si>
  <si>
    <t>disabled traumatic brain injury ebt benefits 81 mom sending money</t>
  </si>
  <si>
    <t>christ olov244 christians mahatma gandhi american reporter price gouging emergency</t>
  </si>
  <si>
    <t>doxing bullshit completely store management</t>
  </si>
  <si>
    <t>biden worse pelosi office tulsi address management fired</t>
  </si>
  <si>
    <t>stores dam fault setting limits</t>
  </si>
  <si>
    <t>tulsis fault people stupid robert</t>
  </si>
  <si>
    <t>toilet paper tim vote biden hoping bernie lady buying stupid</t>
  </si>
  <si>
    <t>joe based voting records american people tough sympathy break</t>
  </si>
  <si>
    <t>trickle greed grab hustle</t>
  </si>
  <si>
    <t>agree human percentage exists</t>
  </si>
  <si>
    <t>product thinking lady bringing retirement forgotten government private owners stopped</t>
  </si>
  <si>
    <t>hope bad paper</t>
  </si>
  <si>
    <t>dollar tree christians 101 buying stock interviewed manger</t>
  </si>
  <si>
    <t>police homeless shelters</t>
  </si>
  <si>
    <t>tim hard time hanging feeling american</t>
  </si>
  <si>
    <t>excellet human tim black american</t>
  </si>
  <si>
    <t>jimmy dore country rare special tulsi honor serving kid graduating</t>
  </si>
  <si>
    <t>forget jimmy tfg</t>
  </si>
  <si>
    <t>joe biden lives empathy president leader care challenges union worker</t>
  </si>
  <si>
    <t>president forgot mia action global pandemic economic crises running lead</t>
  </si>
  <si>
    <t>razor sharp</t>
  </si>
  <si>
    <t>imagine happening greedier people wall street damn dollar store</t>
  </si>
  <si>
    <t>jesus christ greene white guy santa claus reality nicholas brown</t>
  </si>
  <si>
    <t>christian nation</t>
  </si>
  <si>
    <t>muslims freedom religion</t>
  </si>
  <si>
    <t>build wall</t>
  </si>
  <si>
    <t>ireland allowed packs person reason doomstar 24 situation ideal organized</t>
  </si>
  <si>
    <t>woman packing car endless boxes letter word keith warner hear</t>
  </si>
  <si>
    <t>austin zappas libertarian keith warner rule asshole</t>
  </si>
  <si>
    <t>tick rolls lady straight robs</t>
  </si>
  <si>
    <t>people store trump karma arrested horrible understand gropes olds police</t>
  </si>
  <si>
    <t>employees supplies fired woman family friend pul jgcr 45 grocery</t>
  </si>
  <si>
    <t>properties people billionaires caretakers correct owns store stopped care takers</t>
  </si>
  <si>
    <t>treee selling person shame hope toilet paper pathetic statement remember</t>
  </si>
  <si>
    <t>democratic republic market anti economic simple fucks jack shit stops</t>
  </si>
  <si>
    <t>mutual aid renee lynda martinez anarchist reaching started ages search</t>
  </si>
  <si>
    <t>prayer idea understand start reading published book amazon coincidence mathematically</t>
  </si>
  <si>
    <t>thinking dollar tree limited sales karma joan anthony western understanding</t>
  </si>
  <si>
    <t>justice karma care understand experiences explained plecebo confirmation bias prayer</t>
  </si>
  <si>
    <t>karma read report iraq permanently contaminated radioactive poisoning depleted uranium</t>
  </si>
  <si>
    <t>florida gouging emergency illegal encourage witnessing selling commodities inflated prices</t>
  </si>
  <si>
    <t>empathy president leader joe biden lives care challenges union worker</t>
  </si>
  <si>
    <t>packing car endless boxes letter word keith warner hear agree</t>
  </si>
  <si>
    <t>continue,expensive  expensive,healthcare  healthcare,sucks  sucks,people  people,sick  sick,infrastructure  infrastructure,continue  continue,screwed  screwed,veterans  veterans,sleeping</t>
  </si>
  <si>
    <t>bernie,finished  finished,endorsing  endorsing,friend  friend,biden  mike,lewis  lewis,sympathise  sympathise,british  british,healthcare  healthcare,human  human,calvinist</t>
  </si>
  <si>
    <t>sean,moroney  moroney,ireland  stay,florida  florida,people  people,leave  leave,florida</t>
  </si>
  <si>
    <t>terry,helton  helton,buying  buying,hand  hand,sanitizer  sanitizer,dollar  dollar,selling  selling,online  online,20  20,charged  charged,heard</t>
  </si>
  <si>
    <t>store,limit  limit,product  product,guy  guy,bought  bought,18  18,000  000,bottles  bottles,hand  hand,sanitizer  sanitizer,pure</t>
  </si>
  <si>
    <t>joan,anthony  anthony,insane  insane,link</t>
  </si>
  <si>
    <t>store,customer  customer,bags  bags,rice  rice,cashier  cashier,told  told,customer  customer,handed  handed,issues  issues,drama  drama,people</t>
  </si>
  <si>
    <t>tim,lot  lot,corporations  corporations,fine</t>
  </si>
  <si>
    <t>gamer4life_07,agreed</t>
  </si>
  <si>
    <t>joan,anthony  anthony,blame  blame,store  store,mess  sickening,hall  hall,shame  shame,rest</t>
  </si>
  <si>
    <t>people,feel  feel,shame</t>
  </si>
  <si>
    <t>leslie,wheeler  wheeler,lot  lot,people  people,human  human,race  race,wold  wold,died  died,true  true,story  story,species</t>
  </si>
  <si>
    <t>18000,fucking  fucking,disgusting</t>
  </si>
  <si>
    <t>bernie,nina  nina,2020  jonnyb,hear  hear,shit  shit,scalping  scalping,tickets</t>
  </si>
  <si>
    <t>claimed,check  check,charitable  public,shaming  store,selling  selling,buying  buying,police  police,arrest  leaves,children  children,wash  people,counts</t>
  </si>
  <si>
    <t>dollar,tree  hand,sanitizer  joan,anthony  anthony,agreed  agreed,matt  matt,lilly  lilly,agree  agree,woman  woman,locked  locked,buying</t>
  </si>
  <si>
    <t>joan,anthony  anthony,researching  researching,political  political,history  history,democratic  democratic,party  party,people  people,gop  gop,historically  historically,bastards</t>
  </si>
  <si>
    <t>hilarious,joe  joe,biden  biden,donald  donald,trump  trump,empathy  empathy,caught  caught,camera  camera,couple  couple,empathy  empathy,millennials</t>
  </si>
  <si>
    <t>joan,anthony  anthony,telling  telling,johnson  johnson,johnson</t>
  </si>
  <si>
    <t>crash,bandicoot  bandicoot,wait  wait,trump  trump,biden  biden,gonna  gonna,entertaining</t>
  </si>
  <si>
    <t>joan,anthony  anthony,late  late,capitalism  capitalism,barbaric  barbaric,multiracial  multiracial,class  class,fights  fights,harm  harm,endure  endure,barbarism</t>
  </si>
  <si>
    <t>fairness,millennials  millennials,implies  implies,people  people,joe  joe,includes  includes,60  60,olds</t>
  </si>
  <si>
    <t>crash,bandicoot  bandicoot,unapologetic  unapologetic,hypocrite</t>
  </si>
  <si>
    <t>snapshot,reviews  reviews,debates</t>
  </si>
  <si>
    <t>yup,told  told,quit  quit,complaining  complaining,student  student,debt</t>
  </si>
  <si>
    <t>padriac,pearse</t>
  </si>
  <si>
    <t>entre,manure</t>
  </si>
  <si>
    <t>packs,napkins  napkins,yesterday  yesterday,shelf  shelf,gas  gas,station  station,grabbed  grabbed,hope  hope,da  da,phuck  phuck,wrong</t>
  </si>
  <si>
    <t>99,cents  cents,store  store,sell  sell,rolls  rolls,toilet  toilet,paper  paper,eggs  eggs,bread  bread,morals</t>
  </si>
  <si>
    <t>americans,americans  americans,people  people,adult  adult,lives  lives,starting  starting,school  school,parents  parents,money  money,college  college,debt</t>
  </si>
  <si>
    <t>founding,fathers  fathers,implemented  implemented,electoral  electoral,college</t>
  </si>
  <si>
    <t>donating,shelter  shelter,church  church,jump  jump,conclusions  conclusions,selling  selling,profit  profit,jump  jump,president  president,trump  trump,fault</t>
  </si>
  <si>
    <t>pretty,obvious  obvious,easily  easily,character  character,selfish  selfish,decent  decent,person</t>
  </si>
  <si>
    <t>nice,lady  lady,box</t>
  </si>
  <si>
    <t>idiots,hiding  hiding,sticks  sticks,enabled  debbie,dumb</t>
  </si>
  <si>
    <t>trumper,land  land,guns  guns,escalate  escalate,pandemic  donating,shelter  shelter,started  started,recorder  recorder,bird  bird,nah  nah,nice</t>
  </si>
  <si>
    <t>joe,fake  fake,total  total,fake  fake,corrupt  corrupt,paracite  paracite,bernie  bernie,biggest</t>
  </si>
  <si>
    <t>bernie,friend  friend,joe  joe,biden  biden,beat  beat,trump  trump,november</t>
  </si>
  <si>
    <t>perfect,time  time,bernie  bernie,party  party,bernie  bernie,wrote  wrote,damn  damn,sanders  sanders,2020</t>
  </si>
  <si>
    <t>feel,short  short,term  term,taint  taint,progressive  progressive,types  types,blame  blame,dems  dems,losing  losing,socialist  socialist,types</t>
  </si>
  <si>
    <t>kyle,lovell  lovell,bernie  bernie,supporters  supporters,voting  voting,3rd  3rd,party  party,pull  pull,party  party,public  public,relevancy</t>
  </si>
  <si>
    <t>masks,toilet  toilet,paper  employee,reject  reject,sale  sale,trouble  trouble,management  management,store  store,blame  blame,employee  employee,afford</t>
  </si>
  <si>
    <t>employees,store  store,supplies  supplies,fired  fired,woman  woman,family  family,friend  friend,store  store,pul  jgcr,45  45,grocery</t>
  </si>
  <si>
    <t>yup,rugged  rugged,individualism  individualism,corporate  corporate,greed  greed,foundations  foundations,neo  neo,liberalism  liberalism,hope  hope,crisis  crisis,reevaluation</t>
  </si>
  <si>
    <t>looters,arrested  arrested,behaviour  behaviour,capitalism  capitalism,fitter  fitter,advantage  advantage,mask  mask,daughter  daughter,recovering  recovering,leukaemia  leukaemia,vital</t>
  </si>
  <si>
    <t>julie,levinge  levinge,faith  bad,live  live,wife  wife,hospital</t>
  </si>
  <si>
    <t>touch,food  food,banks  banks,churches  churches,food  food,basic  basic,necessity  necessity,banks  banks,care  wars,depression  depression,sporadically</t>
  </si>
  <si>
    <t>gita,stated  stated,veteran  veteran,vietnam  vietnam,war  war,crime  julia,democrat  democrat,50  50,leave  leave,ballot  ballot,blank</t>
  </si>
  <si>
    <t>people,arresting  arresting,people  people,petty  petty,crimes  crimes,pandemic  pandemic,walk  walk,lemonaid  lemonaid,stand  stand,box</t>
  </si>
  <si>
    <t>koch,brothers  brothers,koch  koch,brother  brother,pushing  pushing,daises  daises,hold  hold,monopoly  monopoly,toilet  toilet,paper  paper,industry</t>
  </si>
  <si>
    <t>billionaires,grabbing  grabbing,wealth  wealth,hoarding  hoarding,perfect  perfect,analogy  analogy,lady  lady,hoarding  hoarding,toilet  toilet,paper  paper,paper</t>
  </si>
  <si>
    <t>correct,owns  owns,store  store,stopped  care,takers  takers,billionaires  billionaires,reselling  reselling,spending  spending,cash  dr,dermix  dermix,girl</t>
  </si>
  <si>
    <t>republican,covid  covid,19</t>
  </si>
  <si>
    <t>dollar,treee  treee,selling  selling,person  person,shame  hope,toilet  toilet,paper  pathetic,statement  statement,remember  remember,dollar  dollar,tree</t>
  </si>
  <si>
    <t>store,thinking  thinking,money  money,greedy  greedy,toilet  toilet,paper  paper,customer</t>
  </si>
  <si>
    <t>america,democratic  democratic,republic  republic,market  market,anti  anti,democratic  democratic,economic  economic,simple  simple,fucks  fucks,jack  jack,shit</t>
  </si>
  <si>
    <t>erik,moss  moss,america  atheos,sapien  america,people  people,start  start,complaining  complaining,socialism  socialism,communism  communism,martial  martial,law</t>
  </si>
  <si>
    <t>trump,america  america,morally  morally,bankrupt</t>
  </si>
  <si>
    <t>stopped,word  word,word  word,offend  trickle,jack  trump,america</t>
  </si>
  <si>
    <t>mutual,aid  black,cross  renee,lynda  lynda,martinez  martinez,searching  searching,mutual  aid,anarchist  anarchist,black  cross,reaching  reaching,started</t>
  </si>
  <si>
    <t>mal,idea  idea,understand  understand,start  start,reading  reading,published  published,book  book,amazon  mal,coincidence  coincidence,mathematically  mathematically,impossible</t>
  </si>
  <si>
    <t>dollar,tree  tree,limited  limited,sales  sales,woman  woman,karma  joan,anthony  anthony,thinking  thinking,western  western,understanding  understanding,lot</t>
  </si>
  <si>
    <t>claus,bohm  bohm,care  bohm,understand  bohm,experiences  experiences,explained  explained,plecebo  plecebo,confirmation  confirmation,bias  bohm,prayer  prayer,karma</t>
  </si>
  <si>
    <t>read,report  report,iraq  iraq,permanently  permanently,contaminated  contaminated,radioactive  radioactive,poisoning  poisoning,depleted  depleted,uranium  uranium,shells  shells,dose</t>
  </si>
  <si>
    <t>flash,gordon  gordon,whataboutism  hope,jimmy  jimmy,senses  yeah,armed  armed,person  person,fla  joan,anthony  anthony,christian  christian,meek</t>
  </si>
  <si>
    <t>selfish,mom  mom,owns  owns,residential  residential,care  care,houses  houses,people  people,assisted  assisted,living  yup,dysentery</t>
  </si>
  <si>
    <t>kroger,limits  limits,items  items,hand  hand,sanitizer  sanitizer,clorox  clorox,wipes  wipes,lysol  lysol,month</t>
  </si>
  <si>
    <t>credit,responsibility  responsibility,rests  rests,store  store,scene  scene,law  law,involved  involved,retailers  retailers,sell  sell,shit</t>
  </si>
  <si>
    <t>florida,price  price,gouging  gouging,emergency  emergency,illegal  illegal,florida  florida,encourage  encourage,witnessing  witnessing,selling  selling,commodities  commodities,inflated</t>
  </si>
  <si>
    <t>resale,items  items,bought  woman,filming  filming,sounds  sounds,familiar</t>
  </si>
  <si>
    <t>jay0571,itching  itching,gun  gun,pathetic  pathetic,woman</t>
  </si>
  <si>
    <t>florida,feeling  feeling,gonna  gonna,robbed  robbed,neighborhood  neighborhood,justice</t>
  </si>
  <si>
    <t>people,disliked  disliked,lmao</t>
  </si>
  <si>
    <t>food,stamps  disabled,senior  senior,pandemic  pandemic,food  stamps,running  running,sales  sales,house  house,brands  brands,stretch  stretch,food</t>
  </si>
  <si>
    <t>cookie,baranek  baranek,slimeball  slimeball,takes  takes,advantage  advantage,neighbors  neighbors,time  time,reach  reach,remember  remember,depression  depression,stories</t>
  </si>
  <si>
    <t>disabled,traumatic  traumatic,brain  brain,injury  injury,ebt  ebt,benefits  benefits,81  81,mom  mom,sending  sending,money  money,food</t>
  </si>
  <si>
    <t>olov244,christ  christ,christians  christians,christ  christ,mahatma  mahatma,gandhi  gandhi,american  american,reporter  price,gouging  gouging,emergency  emergency,illegal</t>
  </si>
  <si>
    <t>doxing,bullshit  bullshit,completely  completely,store  store,management</t>
  </si>
  <si>
    <t>biden,worse  worse,pelosi  pelosi,office  office,tulsi  address,management  management,fired</t>
  </si>
  <si>
    <t>stores,dam  dam,fault  fault,setting  setting,limits</t>
  </si>
  <si>
    <t>tulsis,fault  fault,people  people,stupid  stupid,robert</t>
  </si>
  <si>
    <t>toilet,paper  tim,vote  vote,biden  biden,hoping  hoping,bernie  bernie,lady  lady,buying  buying,toilet  paper,stupid  stupid,sick</t>
  </si>
  <si>
    <t>joe,based  based,voting  voting,records  records,american  american,people  people,tough  tough,sympathy  sympathy,break</t>
  </si>
  <si>
    <t>trickle,trickle  trickle,greed  greed,trickle  trickle,grab  grab,hustle</t>
  </si>
  <si>
    <t>agree,human  human,percentage  percentage,exists</t>
  </si>
  <si>
    <t>lady,bringing  bringing,product  product,retirement  retirement,forgotten  forgotten,government  government,private  private,owners  owners,stopped  stopped,bothering  bothering,fine</t>
  </si>
  <si>
    <t>hope,bad  bad,paper</t>
  </si>
  <si>
    <t>dollar,tree  christians,101  101,dollar  tree,buying  buying,stock  stock,interviewed  interviewed,dollar  tree,manger</t>
  </si>
  <si>
    <t>police,homeless  homeless,shelters</t>
  </si>
  <si>
    <t>tim,hard  hard,time  time,hanging  hanging,feeling  feeling,american</t>
  </si>
  <si>
    <t>excellet,human  human,tim  tim,black  black,american</t>
  </si>
  <si>
    <t>jimmy,dore  rare,special  tulsi,jimmy  dore,honor  honor,serving  serving,country  country,kid  kid,graduating  graduating,age  age,decision</t>
  </si>
  <si>
    <t>forget,jimmy  jimmy,tfg</t>
  </si>
  <si>
    <t>joe,biden  biden,care  care,empathy  empathy,joe  biden,challenges  challenges,union  union,worker  worker,fight  fight,empathy  empathy,millennials</t>
  </si>
  <si>
    <t>forgot,mia  mia,action  action,global  global,pandemic  pandemic,economic  economic,crises  crises,running  running,president  president,lead  lead,charge</t>
  </si>
  <si>
    <t>razor,sharp</t>
  </si>
  <si>
    <t>imagine,happening  happening,greedier  greedier,people  people,wall  wall,street  street,damn  damn,dollar  dollar,store</t>
  </si>
  <si>
    <t>greene,jesus  jesus,christ  christ,christ  christ,white  white,guy  guy,santa  santa,claus  claus,reality  reality,jesus  jesus,nicholas</t>
  </si>
  <si>
    <t>christian,nation</t>
  </si>
  <si>
    <t>muslims,freedom  freedom,religion</t>
  </si>
  <si>
    <t>build,wall</t>
  </si>
  <si>
    <t>ireland,allowed  allowed,packs  packs,person  person,reason  doomstar,24  24,situation  situation,ideal  ideal,organized</t>
  </si>
  <si>
    <t>woman,packing  packing,car  car,endless  endless,boxes  boxes,letter  letter,word  keith,warner  warner,hear  hear,agree  agree,damn</t>
  </si>
  <si>
    <t>austin,zappas  zappas,libertarian  keith,warner  warner,rule  rule,asshole</t>
  </si>
  <si>
    <t>tick,tick  rolls,lady  lady,straight  straight,robs  robs,tick</t>
  </si>
  <si>
    <t>mutual,aid  renee,lynda  lynda,martinez  martinez,searching  searching,mutual  aid,anarchist  anarchist,black  cross,reaching  reaching,started  started,ages</t>
  </si>
  <si>
    <t>bohm,care  bohm,understand  bohm,experiences  experiences,explained  explained,plecebo  plecebo,confirmation  confirmation,bias  bohm,prayer  prayer,karma  karma,praying</t>
  </si>
  <si>
    <t>8-Apr</t>
  </si>
  <si>
    <t>13-Apr</t>
  </si>
  <si>
    <t>G1: store people paper christ american dollar florida emergency trump joe</t>
  </si>
  <si>
    <t>G2: people food paper jimmy war koch america read toilet money</t>
  </si>
  <si>
    <t>G3: people bernie store party trump agree biden product thinking jonnyb</t>
  </si>
  <si>
    <t>G4: care people karma president joe claus bohm mal biden lives</t>
  </si>
  <si>
    <t>G5: biden trump people joan anthony joe empathy millennials crash bandicoot</t>
  </si>
  <si>
    <t>G6: america woman dollar agreed tree arrested toilet paper erik moss</t>
  </si>
  <si>
    <t>G7: store people hand sanitizer lot cashier shame joan anthony customer</t>
  </si>
  <si>
    <t>G8: people pandemic box donating shelter nice person jump trump filming</t>
  </si>
  <si>
    <t>G9: tick trickle word keith warner woman</t>
  </si>
  <si>
    <t>Edge Weight▓1▓2▓0▓True▓Gray▓Red▓▓Edge Weight▓1▓2▓0▓3▓10▓False▓Edge Weight▓1▓2▓0▓50▓20▓False▓▓0▓0▓0▓True▓Black▓Black▓▓In-Degree▓0▓5▓0▓200▓1000▓False▓▓0▓0▓0▓0▓0▓False▓▓0▓0▓0▓0▓0▓False▓▓0▓0▓0▓0▓0▓False</t>
  </si>
  <si>
    <t>GraphSource░YouTubeUser▓GraphTerm░NodeXL▓ImportDescription░The graph represents the network of YouTube videos whose title, keywords, description, categories, or author's username contain "NodeXL".  The network was obtained from YouTube on Thursday, 09 July 2020 at 11:31 UTC.
The network was limited to 100 videos.
There is an edge for each user who comented an a video.  There is an edge for each user who replied to a comment.▓ImportSuggestedTitle░YouTube Users NodeXL▓ImportSuggestedFileNameNoExtension░2020-07-09 11-31-30 NodeXL YouTube Users NodeXL▓GroupingDescription░The graph's vertices were grouped by cluster using the Clauset-Newman-Moore cluster algorithm.▓LayoutAlgorithm░The graph was laid out using the Harel-Koren Fast Multiscale layout algorithm.▓GraphDirectedness░The graph is directed.</t>
  </si>
  <si>
    <t>The graph represents the network of YouTube videos whose title, keywords, description, categories, or author's username contain "NodeXL".  The network was obtained from YouTube on Thursday, 09 July 2020 at 11:31 UTC.
The network was limited to 100 videos.
There is an edge for each user who comented an a video.  There is an edge for each user who replied to a comment.</t>
  </si>
  <si>
    <t>https://nodexlgraphgallery.org/Pages/Graph.aspx?graphID=230407</t>
  </si>
  <si>
    <t>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</si>
</sst>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3" borderId="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959536"/>
        <c:axId val="29764913"/>
      </c:barChart>
      <c:catAx>
        <c:axId val="629595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64913"/>
        <c:crosses val="autoZero"/>
        <c:auto val="1"/>
        <c:lblOffset val="100"/>
        <c:noMultiLvlLbl val="0"/>
      </c:catAx>
      <c:valAx>
        <c:axId val="2976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6"/>
                <c:pt idx="0">
                  <c:v>22-Mar
Mar
2020</c:v>
                </c:pt>
                <c:pt idx="1">
                  <c:v>23-Mar</c:v>
                </c:pt>
                <c:pt idx="2">
                  <c:v>24-Mar</c:v>
                </c:pt>
                <c:pt idx="3">
                  <c:v>27-Mar</c:v>
                </c:pt>
                <c:pt idx="4">
                  <c:v>8-Apr
Apr</c:v>
                </c:pt>
                <c:pt idx="5">
                  <c:v>13-Apr</c:v>
                </c:pt>
              </c:strCache>
            </c:strRef>
          </c:cat>
          <c:val>
            <c:numRef>
              <c:f>'Time Series'!$B$26:$B$35</c:f>
              <c:numCache>
                <c:formatCode>General</c:formatCode>
                <c:ptCount val="6"/>
                <c:pt idx="0">
                  <c:v>173</c:v>
                </c:pt>
                <c:pt idx="1">
                  <c:v>15</c:v>
                </c:pt>
                <c:pt idx="2">
                  <c:v>3</c:v>
                </c:pt>
                <c:pt idx="3">
                  <c:v>3</c:v>
                </c:pt>
                <c:pt idx="4">
                  <c:v>1</c:v>
                </c:pt>
                <c:pt idx="5">
                  <c:v>1</c:v>
                </c:pt>
              </c:numCache>
            </c:numRef>
          </c:val>
        </c:ser>
        <c:axId val="5490570"/>
        <c:axId val="49415131"/>
      </c:barChart>
      <c:catAx>
        <c:axId val="5490570"/>
        <c:scaling>
          <c:orientation val="minMax"/>
        </c:scaling>
        <c:axPos val="b"/>
        <c:delete val="0"/>
        <c:numFmt formatCode="General" sourceLinked="1"/>
        <c:majorTickMark val="out"/>
        <c:minorTickMark val="none"/>
        <c:tickLblPos val="nextTo"/>
        <c:crossAx val="49415131"/>
        <c:crosses val="autoZero"/>
        <c:auto val="1"/>
        <c:lblOffset val="100"/>
        <c:noMultiLvlLbl val="0"/>
      </c:catAx>
      <c:valAx>
        <c:axId val="49415131"/>
        <c:scaling>
          <c:orientation val="minMax"/>
        </c:scaling>
        <c:axPos val="l"/>
        <c:majorGridlines/>
        <c:delete val="0"/>
        <c:numFmt formatCode="General" sourceLinked="1"/>
        <c:majorTickMark val="out"/>
        <c:minorTickMark val="none"/>
        <c:tickLblPos val="nextTo"/>
        <c:crossAx val="5490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557626"/>
        <c:axId val="62147723"/>
      </c:barChart>
      <c:catAx>
        <c:axId val="665576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147723"/>
        <c:crosses val="autoZero"/>
        <c:auto val="1"/>
        <c:lblOffset val="100"/>
        <c:noMultiLvlLbl val="0"/>
      </c:catAx>
      <c:valAx>
        <c:axId val="62147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57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458596"/>
        <c:axId val="800773"/>
      </c:barChart>
      <c:catAx>
        <c:axId val="22458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0773"/>
        <c:crosses val="autoZero"/>
        <c:auto val="1"/>
        <c:lblOffset val="100"/>
        <c:noMultiLvlLbl val="0"/>
      </c:catAx>
      <c:valAx>
        <c:axId val="80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206958"/>
        <c:axId val="64862623"/>
      </c:barChart>
      <c:catAx>
        <c:axId val="72069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62623"/>
        <c:crosses val="autoZero"/>
        <c:auto val="1"/>
        <c:lblOffset val="100"/>
        <c:noMultiLvlLbl val="0"/>
      </c:catAx>
      <c:valAx>
        <c:axId val="6486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892696"/>
        <c:axId val="19381081"/>
      </c:barChart>
      <c:catAx>
        <c:axId val="468926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81081"/>
        <c:crosses val="autoZero"/>
        <c:auto val="1"/>
        <c:lblOffset val="100"/>
        <c:noMultiLvlLbl val="0"/>
      </c:catAx>
      <c:valAx>
        <c:axId val="1938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9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212002"/>
        <c:axId val="26363699"/>
      </c:barChart>
      <c:catAx>
        <c:axId val="40212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363699"/>
        <c:crosses val="autoZero"/>
        <c:auto val="1"/>
        <c:lblOffset val="100"/>
        <c:noMultiLvlLbl val="0"/>
      </c:catAx>
      <c:valAx>
        <c:axId val="2636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946700"/>
        <c:axId val="55084845"/>
      </c:barChart>
      <c:catAx>
        <c:axId val="359467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84845"/>
        <c:crosses val="autoZero"/>
        <c:auto val="1"/>
        <c:lblOffset val="100"/>
        <c:noMultiLvlLbl val="0"/>
      </c:catAx>
      <c:valAx>
        <c:axId val="55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001558"/>
        <c:axId val="32687431"/>
      </c:barChart>
      <c:catAx>
        <c:axId val="26001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87431"/>
        <c:crosses val="autoZero"/>
        <c:auto val="1"/>
        <c:lblOffset val="100"/>
        <c:noMultiLvlLbl val="0"/>
      </c:catAx>
      <c:valAx>
        <c:axId val="3268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751424"/>
        <c:axId val="30436225"/>
      </c:barChart>
      <c:catAx>
        <c:axId val="25751424"/>
        <c:scaling>
          <c:orientation val="minMax"/>
        </c:scaling>
        <c:axPos val="b"/>
        <c:delete val="1"/>
        <c:majorTickMark val="out"/>
        <c:minorTickMark val="none"/>
        <c:tickLblPos val="none"/>
        <c:crossAx val="30436225"/>
        <c:crosses val="autoZero"/>
        <c:auto val="1"/>
        <c:lblOffset val="100"/>
        <c:noMultiLvlLbl val="0"/>
      </c:catAx>
      <c:valAx>
        <c:axId val="30436225"/>
        <c:scaling>
          <c:orientation val="minMax"/>
        </c:scaling>
        <c:axPos val="l"/>
        <c:delete val="1"/>
        <c:majorTickMark val="out"/>
        <c:minorTickMark val="none"/>
        <c:tickLblPos val="none"/>
        <c:crossAx val="257514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142875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Digital Space Lab" refreshedVersion="6">
  <cacheSource type="worksheet">
    <worksheetSource ref="A2:AP198"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MixedTypes="0" count="0"/>
    </cacheField>
    <cacheField name="Comment">
      <sharedItems containsMixedTypes="0" longText="1" count="0"/>
    </cacheField>
    <cacheField name="Author Channel ID">
      <sharedItems containsMixedTypes="0" count="0"/>
    </cacheField>
    <cacheField name="Author Display Name">
      <sharedItems containsMixedTypes="0" count="0"/>
    </cacheField>
    <cacheField name="Author Channel URL">
      <sharedItems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MixedTypes="0" count="0"/>
    </cacheField>
    <cacheField name="Like Count">
      <sharedItems containsSemiMixedTypes="0" containsString="0" containsMixedTypes="0" containsNumber="1" containsInteger="1" count="0"/>
    </cacheField>
    <cacheField name="Publishet At" numFmtId="22">
      <sharedItems containsSemiMixedTypes="0" containsNonDate="0" containsDate="1" containsString="0" containsMixedTypes="0" count="195">
        <d v="2020-03-22T10:56:08.000"/>
        <d v="2020-03-22T11:25:32.000"/>
        <d v="2020-03-22T14:17:15.000"/>
        <d v="2020-03-22T10:50:51.000"/>
        <d v="2020-03-22T11:49:33.000"/>
        <d v="2020-03-22T13:29:18.000"/>
        <d v="2020-03-22T17:28:12.000"/>
        <d v="2020-03-22T18:52:03.000"/>
        <d v="2020-03-22T20:46:45.000"/>
        <d v="2020-03-22T21:15:11.000"/>
        <d v="2020-03-22T21:16:07.000"/>
        <d v="2020-03-23T03:08:10.000"/>
        <d v="2020-03-23T01:32:17.000"/>
        <d v="2020-03-23T13:54:56.000"/>
        <d v="2020-04-08T06:26:20.000"/>
        <d v="2020-03-22T11:17:21.000"/>
        <d v="2020-03-22T11:55:30.000"/>
        <d v="2020-03-22T12:37:28.000"/>
        <d v="2020-03-22T13:04:30.000"/>
        <d v="2020-03-22T10:53:23.000"/>
        <d v="2020-03-22T12:18:32.000"/>
        <d v="2020-03-22T13:01:41.000"/>
        <d v="2020-03-22T13:28:36.000"/>
        <d v="2020-03-22T14:02:55.000"/>
        <d v="2020-03-22T14:06:09.000"/>
        <d v="2020-03-22T14:15:13.000"/>
        <d v="2020-03-22T15:09:04.000"/>
        <d v="2020-03-22T16:49:59.000"/>
        <d v="2020-03-22T20:23:30.000"/>
        <d v="2020-03-23T08:54:43.000"/>
        <d v="2020-03-23T09:11:07.000"/>
        <d v="2020-03-22T12:40:41.000"/>
        <d v="2020-03-22T10:53:26.000"/>
        <d v="2020-03-22T11:03:35.000"/>
        <d v="2020-03-22T10:53:28.000"/>
        <d v="2020-03-23T14:59:35.000"/>
        <d v="2020-03-24T03:03:55.000"/>
        <d v="2020-03-22T10:55:12.000"/>
        <d v="2020-03-22T11:12:24.000"/>
        <d v="2020-03-22T11:12:37.000"/>
        <d v="2020-03-22T17:01:17.000"/>
        <d v="2020-03-22T11:02:13.000"/>
        <d v="2020-03-22T11:27:54.000"/>
        <d v="2020-03-22T14:19:35.000"/>
        <d v="2020-03-22T11:00:03.000"/>
        <d v="2020-03-22T11:04:26.000"/>
        <d v="2020-03-22T11:02:50.000"/>
        <d v="2020-03-22T11:14:40.000"/>
        <d v="2020-03-22T11:15:09.000"/>
        <d v="2020-03-22T11:55:48.000"/>
        <d v="2020-03-22T13:01:54.000"/>
        <d v="2020-03-22T13:00:55.000"/>
        <d v="2020-03-22T11:03:00.000"/>
        <d v="2020-03-22T11:10:59.000"/>
        <d v="2020-03-22T11:34:28.000"/>
        <d v="2020-03-22T11:04:55.000"/>
        <d v="2020-03-22T12:17:58.000"/>
        <d v="2020-03-22T13:29:47.000"/>
        <d v="2020-03-22T13:55:37.000"/>
        <d v="2020-03-22T12:14:36.000"/>
        <d v="2020-03-22T12:47:59.000"/>
        <d v="2020-03-22T11:00:56.000"/>
        <d v="2020-03-22T12:45:06.000"/>
        <d v="2020-03-22T13:53:36.000"/>
        <d v="2020-03-22T16:21:47.000"/>
        <d v="2020-03-22T11:11:54.000"/>
        <d v="2020-03-22T11:24:10.000"/>
        <d v="2020-03-22T11:38:58.000"/>
        <d v="2020-03-22T11:12:16.000"/>
        <d v="2020-03-22T16:19:56.000"/>
        <d v="2020-03-22T11:12:36.000"/>
        <d v="2020-03-22T11:44:00.000"/>
        <d v="2020-03-22T13:46:29.000"/>
        <d v="2020-03-22T11:14:19.000"/>
        <d v="2020-03-22T11:43:01.000"/>
        <d v="2020-03-22T13:23:36.000"/>
        <d v="2020-03-22T18:32:38.000"/>
        <d v="2020-03-22T14:45:13.000"/>
        <d v="2020-03-22T17:28:29.000"/>
        <d v="2020-03-22T20:01:39.000"/>
        <d v="2020-03-22T13:19:34.000"/>
        <d v="2020-03-22T14:05:32.000"/>
        <d v="2020-03-22T15:13:45.000"/>
        <d v="2020-03-22T17:16:30.000"/>
        <d v="2020-03-22T17:17:43.000"/>
        <d v="2020-03-22T17:29:09.000"/>
        <d v="2020-03-22T19:54:35.000"/>
        <d v="2020-03-22T19:56:05.000"/>
        <d v="2020-03-22T11:15:15.000"/>
        <d v="2020-03-22T11:43:42.000"/>
        <d v="2020-03-22T13:52:36.000"/>
        <d v="2020-03-22T14:14:53.000"/>
        <d v="2020-03-22T16:32:57.000"/>
        <d v="2020-03-22T11:25:59.000"/>
        <d v="2020-03-22T15:21:23.000"/>
        <d v="2020-03-22T16:05:22.000"/>
        <d v="2020-03-22T16:35:22.000"/>
        <d v="2020-03-22T16:46:56.000"/>
        <d v="2020-03-22T14:31:06.000"/>
        <d v="2020-03-22T14:49:16.000"/>
        <d v="2020-03-22T15:31:19.000"/>
        <d v="2020-03-22T16:19:04.000"/>
        <d v="2020-03-22T16:40:39.000"/>
        <d v="2020-03-22T16:50:28.000"/>
        <d v="2020-03-22T12:51:12.000"/>
        <d v="2020-03-22T14:40:16.000"/>
        <d v="2020-03-22T15:52:54.000"/>
        <d v="2020-03-23T07:24:15.000"/>
        <d v="2020-03-23T07:35:13.000"/>
        <d v="2020-03-27T07:38:36.000"/>
        <d v="2020-03-22T11:30:43.000"/>
        <d v="2020-03-22T13:31:38.000"/>
        <d v="2020-03-22T11:35:50.000"/>
        <d v="2020-03-22T14:07:09.000"/>
        <d v="2020-03-22T17:19:29.000"/>
        <d v="2020-03-22T19:48:41.000"/>
        <d v="2020-03-22T19:59:24.000"/>
        <d v="2020-03-22T20:34:08.000"/>
        <d v="2020-03-22T17:03:09.000"/>
        <d v="2020-03-23T00:13:56.000"/>
        <d v="2020-03-22T12:43:04.000"/>
        <d v="2020-03-22T12:57:49.000"/>
        <d v="2020-03-22T16:54:22.000"/>
        <d v="2020-03-22T11:41:13.000"/>
        <d v="2020-03-22T14:09:19.000"/>
        <d v="2020-03-22T15:51:27.000"/>
        <d v="2020-03-22T11:44:35.000"/>
        <d v="2020-03-22T12:59:12.000"/>
        <d v="2020-03-22T11:45:43.000"/>
        <d v="2020-03-22T12:17:19.000"/>
        <d v="2020-03-22T12:33:42.000"/>
        <d v="2020-03-22T13:14:04.000"/>
        <d v="2020-03-22T14:22:07.000"/>
        <d v="2020-03-22T14:23:52.000"/>
        <d v="2020-03-22T14:04:39.000"/>
        <d v="2020-03-22T15:22:55.000"/>
        <d v="2020-03-22T12:01:51.000"/>
        <d v="2020-03-22T13:47:39.000"/>
        <d v="2020-03-22T12:55:22.000"/>
        <d v="2020-03-22T12:04:34.000"/>
        <d v="2020-03-22T19:31:49.000"/>
        <d v="2020-03-22T12:03:31.000"/>
        <d v="2020-03-22T12:53:59.000"/>
        <d v="2020-03-22T12:07:37.000"/>
        <d v="2020-03-22T17:28:16.000"/>
        <d v="2020-03-22T12:17:09.000"/>
        <d v="2020-03-24T02:54:36.000"/>
        <d v="2020-03-22T12:35:43.000"/>
        <d v="2020-03-22T17:01:12.000"/>
        <d v="2020-03-22T12:37:27.000"/>
        <d v="2020-03-22T13:02:36.000"/>
        <d v="2020-03-22T12:37:41.000"/>
        <d v="2020-03-22T13:02:16.000"/>
        <d v="2020-03-22T12:54:00.000"/>
        <d v="2020-03-23T01:30:39.000"/>
        <d v="2020-03-22T12:59:00.000"/>
        <d v="2020-03-23T17:27:34.000"/>
        <d v="2020-03-23T17:37:32.000"/>
        <d v="2020-03-22T13:02:24.000"/>
        <d v="2020-03-22T14:48:17.000"/>
        <d v="2020-03-22T13:11:51.000"/>
        <d v="2020-03-27T07:42:58.000"/>
        <d v="2020-03-27T08:28:24.000"/>
        <d v="2020-03-22T13:17:21.000"/>
        <d v="2020-03-22T15:17:17.000"/>
        <d v="2020-03-22T15:59:48.000"/>
        <d v="2020-03-22T16:16:36.000"/>
        <d v="2020-03-22T15:50:22.000"/>
        <d v="2020-03-22T13:29:21.000"/>
        <d v="2020-03-22T15:50:54.000"/>
        <d v="2020-03-22T16:10:23.000"/>
        <d v="2020-03-22T15:57:40.000"/>
        <d v="2020-03-22T17:16:55.000"/>
        <d v="2020-03-22T13:39:02.000"/>
        <d v="2020-03-23T18:49:31.000"/>
        <d v="2020-03-22T13:51:16.000"/>
        <d v="2020-03-22T23:12:53.000"/>
        <d v="2020-04-13T00:32:26.000"/>
        <d v="2020-03-22T14:06:34.000"/>
        <d v="2020-03-22T13:53:59.000"/>
        <d v="2020-03-24T02:58:43.000"/>
        <d v="2020-03-22T13:54:11.000"/>
        <d v="2020-03-22T14:13:41.000"/>
        <d v="2020-03-22T14:02:03.000"/>
        <d v="2020-03-22T14:15:00.000"/>
        <d v="2020-03-22T14:22:03.000"/>
        <d v="2020-03-22T14:12:32.000"/>
        <d v="2020-03-22T17:08:42.000"/>
        <d v="2020-03-22T18:45:03.000"/>
        <d v="2020-03-22T18:59:27.000"/>
        <d v="2020-03-22T19:01:35.000"/>
        <d v="2020-03-22T14:34:56.000"/>
        <d v="2020-03-22T18:35:31.000"/>
        <d v="2020-03-23T14:51:14.000"/>
        <d v="2020-03-23T14:52:45.000"/>
      </sharedItems>
      <fieldGroup par="43" base="25">
        <rangePr groupBy="days" autoEnd="1" autoStart="1" startDate="2020-03-22T10:50:51.000" endDate="2020-04-13T00:32:26.000"/>
        <groupItems count="368">
          <s v="&lt;3/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3/2020"/>
        </groupItems>
      </fieldGroup>
    </cacheField>
    <cacheField name="Updated At" numFmtId="22">
      <sharedItems containsSemiMixedTypes="0" containsNonDate="0" containsDate="1" containsString="0" containsMixedTypes="0" count="0"/>
    </cacheField>
    <cacheField name="URLs In Comment">
      <sharedItems containsString="0" containsBlank="1" containsMixedTypes="1" count="0"/>
    </cacheField>
    <cacheField name="Domains In Comment">
      <sharedItems containsString="0" containsBlank="1" containsMixedTypes="1"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25">
        <rangePr groupBy="months" autoEnd="1" autoStart="1" startDate="2020-03-22T10:50:51.000" endDate="2020-04-13T00:32:26.000"/>
        <groupItems count="14">
          <s v="&lt;3/22/2020"/>
          <s v="Jan"/>
          <s v="Feb"/>
          <s v="Mar"/>
          <s v="Apr"/>
          <s v="May"/>
          <s v="Jun"/>
          <s v="Jul"/>
          <s v="Aug"/>
          <s v="Sep"/>
          <s v="Oct"/>
          <s v="Nov"/>
          <s v="Dec"/>
          <s v="&gt;4/13/2020"/>
        </groupItems>
      </fieldGroup>
    </cacheField>
    <cacheField name="Years" databaseField="0">
      <sharedItems containsMixedTypes="0" count="0"/>
      <fieldGroup base="25">
        <rangePr groupBy="years" autoEnd="1" autoStart="1" startDate="2020-03-22T10:50:51.000" endDate="2020-04-13T00:32:26.000"/>
        <groupItems count="3">
          <s v="&lt;3/22/2020"/>
          <s v="2020"/>
          <s v="&gt;4/13/2020"/>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6">
  <r>
    <s v="UC-k5kdcnYfmOPIdFeKadsWw"/>
    <s v="UC7x9_kEXL1ZApi5VyfWCY_A"/>
    <m/>
    <m/>
    <m/>
    <m/>
    <m/>
    <m/>
    <m/>
    <m/>
    <s v="No"/>
    <n v="3"/>
    <m/>
    <m/>
    <s v="Replied Comment"/>
    <s v="Reply"/>
    <s v="And we&amp;#39;ll continue to have out of this world expensive healthcare sucks for the people who are sick infrastructure will continue to be screwed up veterans will still be sleeping under bridges most Americans will still be struggling to make ends meet with $7.25/hr minimum wage we&amp;#39;ll still be giving our tax dollars to kill innocent civilians in their country for their natural resources such a great country right?"/>
    <s v="UC-k5kdcnYfmOPIdFeKadsWw"/>
    <s v="Mike Lewis"/>
    <s v="http://www.youtube.com/channel/UC-k5kdcnYfmOPIdFeKadsWw"/>
    <s v="UgxuyU6NrooV3GfOb2V4AaABAg"/>
    <s v="L3Ob_r4yk60"/>
    <s v="https://www.youtube.com/watch?v=L3Ob_r4yk60"/>
    <s v="none"/>
    <n v="9"/>
    <x v="0"/>
    <d v="2020-03-22T10:56:08.000"/>
    <m/>
    <m/>
    <m/>
    <n v="1"/>
    <s v="1"/>
    <s v="1"/>
    <n v="2"/>
    <n v="2.6666666666666665"/>
    <n v="6"/>
    <n v="8"/>
    <n v="0"/>
    <n v="0"/>
    <n v="67"/>
    <n v="89.33333333333333"/>
    <n v="75"/>
  </r>
  <r>
    <s v="UC7x9_kEXL1ZApi5VyfWCY_A"/>
    <s v="UC7x9_kEXL1ZApi5VyfWCY_A"/>
    <m/>
    <m/>
    <m/>
    <m/>
    <m/>
    <m/>
    <m/>
    <m/>
    <s v="No"/>
    <n v="4"/>
    <m/>
    <m/>
    <s v="Replied Comment"/>
    <s v="Reply"/>
    <s v="@Mike Lewis i do sympathise with u all as im British and we have free healthcare which should be free everywhere as a human right.But the US is too Calvinist where the belief is the poor are poor and rich are rich because this so called god wanted it.Thats why the Church there is so powerful while here in europe its not as the welfare system has replaced them.The whole Calvinist/Ayn Rand ethos of the US needs to be taken on and dismantled"/>
    <s v="UC7x9_kEXL1ZApi5VyfWCY_A"/>
    <s v="Lord Teddy Bear"/>
    <s v="http://www.youtube.com/channel/UC7x9_kEXL1ZApi5VyfWCY_A"/>
    <s v="UgxuyU6NrooV3GfOb2V4AaABAg"/>
    <s v="L3Ob_r4yk60"/>
    <s v="https://www.youtube.com/watch?v=L3Ob_r4yk60"/>
    <s v="none"/>
    <n v="3"/>
    <x v="1"/>
    <d v="2020-03-22T11:25:32.000"/>
    <m/>
    <m/>
    <m/>
    <n v="1"/>
    <s v="1"/>
    <s v="1"/>
    <n v="6"/>
    <n v="6.896551724137931"/>
    <n v="2"/>
    <n v="2.2988505747126435"/>
    <n v="0"/>
    <n v="0"/>
    <n v="79"/>
    <n v="90.80459770114942"/>
    <n v="87"/>
  </r>
  <r>
    <s v="UCIykfDLsjZByMEXDU7XqVhg"/>
    <s v="UC7x9_kEXL1ZApi5VyfWCY_A"/>
    <m/>
    <m/>
    <m/>
    <m/>
    <m/>
    <m/>
    <m/>
    <m/>
    <s v="No"/>
    <n v="5"/>
    <m/>
    <m/>
    <s v="Replied Comment"/>
    <s v="Reply"/>
    <s v="Is that you Beto 👀?"/>
    <s v="UCIykfDLsjZByMEXDU7XqVhg"/>
    <s v="doomstar 24"/>
    <s v="http://www.youtube.com/channel/UCIykfDLsjZByMEXDU7XqVhg"/>
    <s v="UgxuyU6NrooV3GfOb2V4AaABAg"/>
    <s v="L3Ob_r4yk60"/>
    <s v="https://www.youtube.com/watch?v=L3Ob_r4yk60"/>
    <s v="none"/>
    <n v="0"/>
    <x v="2"/>
    <d v="2020-03-22T14:17:15.000"/>
    <m/>
    <m/>
    <m/>
    <n v="1"/>
    <s v="1"/>
    <s v="1"/>
    <n v="0"/>
    <n v="0"/>
    <n v="0"/>
    <n v="0"/>
    <n v="0"/>
    <n v="0"/>
    <n v="4"/>
    <n v="100"/>
    <n v="4"/>
  </r>
  <r>
    <s v="UC7x9_kEXL1ZApi5VyfWCY_A"/>
    <s v="UCjRXO-HSl5XpuF-cWvtMV_g"/>
    <m/>
    <m/>
    <m/>
    <m/>
    <m/>
    <m/>
    <m/>
    <m/>
    <s v="No"/>
    <n v="6"/>
    <m/>
    <m/>
    <s v="Commented Video"/>
    <s v="Comment"/>
    <s v="bernie  is finished and soon will be endorsing his good friend Biden"/>
    <s v="UC7x9_kEXL1ZApi5VyfWCY_A"/>
    <s v="Lord Teddy Bear"/>
    <s v="http://www.youtube.com/channel/UC7x9_kEXL1ZApi5VyfWCY_A"/>
    <m/>
    <s v="L3Ob_r4yk60"/>
    <s v="https://www.youtube.com/watch?v=L3Ob_r4yk60"/>
    <s v="none"/>
    <n v="5"/>
    <x v="3"/>
    <d v="2020-03-22T10:50:51.000"/>
    <m/>
    <m/>
    <m/>
    <n v="1"/>
    <s v="1"/>
    <s v="1"/>
    <n v="2"/>
    <n v="16.666666666666668"/>
    <n v="0"/>
    <n v="0"/>
    <n v="0"/>
    <n v="0"/>
    <n v="10"/>
    <n v="83.33333333333333"/>
    <n v="12"/>
  </r>
  <r>
    <s v="UCFhsBKYnt6CLxukd5uqJZrA"/>
    <s v="UCQszm97yuyMfeNLjNhLQtjg"/>
    <m/>
    <m/>
    <m/>
    <m/>
    <m/>
    <m/>
    <m/>
    <m/>
    <s v="No"/>
    <n v="7"/>
    <m/>
    <m/>
    <s v="Replied Comment"/>
    <s v="Reply"/>
    <s v="@terry helton He was buying hand sanitizer for a dollar and selling it online for 20. He ended up getting charged from what i heard."/>
    <s v="UCFhsBKYnt6CLxukd5uqJZrA"/>
    <s v="JonnyB"/>
    <s v="http://www.youtube.com/channel/UCFhsBKYnt6CLxukd5uqJZrA"/>
    <s v="Ugy0fE2Gq9hLvEgPXxR4AaABAg"/>
    <s v="L3Ob_r4yk60"/>
    <s v="https://www.youtube.com/watch?v="/>
    <s v="none"/>
    <n v="25"/>
    <x v="4"/>
    <d v="2020-03-22T11:49:33.000"/>
    <m/>
    <m/>
    <m/>
    <n v="1"/>
    <s v="7"/>
    <s v="7"/>
    <n v="0"/>
    <n v="0"/>
    <n v="0"/>
    <n v="0"/>
    <n v="0"/>
    <n v="0"/>
    <n v="25"/>
    <n v="100"/>
    <n v="25"/>
  </r>
  <r>
    <s v="UCJfiDdpLkI8LSHFQuzvx3FQ"/>
    <s v="UCQszm97yuyMfeNLjNhLQtjg"/>
    <m/>
    <m/>
    <m/>
    <m/>
    <m/>
    <m/>
    <m/>
    <m/>
    <s v="No"/>
    <n v="8"/>
    <m/>
    <m/>
    <s v="Replied Comment"/>
    <s v="Reply"/>
    <s v="@joan anthony That&amp;#39;s insane! Link? 🙏"/>
    <s v="UCJfiDdpLkI8LSHFQuzvx3FQ"/>
    <s v="Ben Reilly"/>
    <s v="http://www.youtube.com/channel/UCJfiDdpLkI8LSHFQuzvx3FQ"/>
    <s v="Ugy0fE2Gq9hLvEgPXxR4AaABAg"/>
    <s v="L3Ob_r4yk60"/>
    <s v="https://www.youtube.com/watch?v="/>
    <s v="none"/>
    <n v="2"/>
    <x v="5"/>
    <d v="2020-03-22T13:29:18.000"/>
    <m/>
    <m/>
    <m/>
    <n v="1"/>
    <s v="7"/>
    <s v="7"/>
    <n v="0"/>
    <n v="0"/>
    <n v="1"/>
    <n v="14.285714285714286"/>
    <n v="0"/>
    <n v="0"/>
    <n v="6"/>
    <n v="85.71428571428571"/>
    <n v="7"/>
  </r>
  <r>
    <s v="UCWYnNPZJ4gVCDKZGvBaoSjQ"/>
    <s v="UCQszm97yuyMfeNLjNhLQtjg"/>
    <m/>
    <m/>
    <m/>
    <m/>
    <m/>
    <m/>
    <m/>
    <m/>
    <s v="No"/>
    <n v="9"/>
    <m/>
    <m/>
    <s v="Replied Comment"/>
    <s v="Reply"/>
    <s v="I went to the store and the customer behind me tried to buy 2 bags of rice. The cashier told them they can only buy one, and the customer handed it over. No issues or drama. People need to chill the hell out and let others get their stuff, especially now"/>
    <s v="UCWYnNPZJ4gVCDKZGvBaoSjQ"/>
    <s v="R U POed"/>
    <s v="http://www.youtube.com/channel/UCWYnNPZJ4gVCDKZGvBaoSjQ"/>
    <s v="Ugy0fE2Gq9hLvEgPXxR4AaABAg"/>
    <s v="L3Ob_r4yk60"/>
    <s v="https://www.youtube.com/watch?v="/>
    <s v="none"/>
    <n v="6"/>
    <x v="6"/>
    <d v="2020-03-22T17:28:12.000"/>
    <m/>
    <m/>
    <m/>
    <n v="1"/>
    <s v="7"/>
    <s v="7"/>
    <n v="0"/>
    <n v="0"/>
    <n v="3"/>
    <n v="5.882352941176471"/>
    <n v="0"/>
    <n v="0"/>
    <n v="48"/>
    <n v="94.11764705882354"/>
    <n v="51"/>
  </r>
  <r>
    <s v="UCReaHOQu71QT6o-4fphdPKw"/>
    <s v="UCQszm97yuyMfeNLjNhLQtjg"/>
    <m/>
    <m/>
    <m/>
    <m/>
    <m/>
    <m/>
    <m/>
    <m/>
    <s v="No"/>
    <n v="10"/>
    <m/>
    <m/>
    <s v="Replied Comment"/>
    <s v="Reply"/>
    <s v="It&amp;#39;s like Tim said, &amp;quot;There are a lot of corporations out there that are just  fine with it.&amp;quot;"/>
    <s v="UCReaHOQu71QT6o-4fphdPKw"/>
    <s v="Ray Kirkham"/>
    <s v="http://www.youtube.com/channel/UCReaHOQu71QT6o-4fphdPKw"/>
    <s v="Ugy0fE2Gq9hLvEgPXxR4AaABAg"/>
    <s v="L3Ob_r4yk60"/>
    <s v="https://www.youtube.com/watch?v="/>
    <s v="none"/>
    <n v="3"/>
    <x v="7"/>
    <d v="2020-03-22T18:52:03.000"/>
    <m/>
    <m/>
    <m/>
    <n v="1"/>
    <s v="7"/>
    <s v="7"/>
    <n v="2"/>
    <n v="9.090909090909092"/>
    <n v="0"/>
    <n v="0"/>
    <n v="0"/>
    <n v="0"/>
    <n v="20"/>
    <n v="90.9090909090909"/>
    <n v="22"/>
  </r>
  <r>
    <s v="UClhuyN7siN-XGSCfYg_KL8w"/>
    <s v="UCQszm97yuyMfeNLjNhLQtjg"/>
    <m/>
    <m/>
    <m/>
    <m/>
    <m/>
    <m/>
    <m/>
    <m/>
    <s v="No"/>
    <n v="11"/>
    <m/>
    <m/>
    <s v="Replied Comment"/>
    <s v="Reply"/>
    <s v="@Gamer4LIfe_07 agreed👍"/>
    <s v="UClhuyN7siN-XGSCfYg_KL8w"/>
    <s v="Mehrdad Dalamie"/>
    <s v="http://www.youtube.com/channel/UClhuyN7siN-XGSCfYg_KL8w"/>
    <s v="Ugy0fE2Gq9hLvEgPXxR4AaABAg"/>
    <s v="L3Ob_r4yk60"/>
    <s v="https://www.youtube.com/watch?v="/>
    <s v="none"/>
    <n v="0"/>
    <x v="8"/>
    <d v="2020-03-22T20:46:45.000"/>
    <m/>
    <m/>
    <m/>
    <n v="1"/>
    <s v="7"/>
    <s v="7"/>
    <n v="0"/>
    <n v="0"/>
    <n v="0"/>
    <n v="0"/>
    <n v="0"/>
    <n v="0"/>
    <n v="2"/>
    <n v="100"/>
    <n v="2"/>
  </r>
  <r>
    <s v="UCXIdsaCiwO4wx2sa4Ea1r3w"/>
    <s v="UCQszm97yuyMfeNLjNhLQtjg"/>
    <m/>
    <m/>
    <m/>
    <m/>
    <m/>
    <m/>
    <m/>
    <m/>
    <s v="No"/>
    <n v="12"/>
    <m/>
    <m/>
    <s v="Replied Comment"/>
    <s v="Reply"/>
    <s v="Sickening!  Put her on the Hall of Shame with the rest of them."/>
    <s v="UCXIdsaCiwO4wx2sa4Ea1r3w"/>
    <s v="Z K"/>
    <s v="http://www.youtube.com/channel/UCXIdsaCiwO4wx2sa4Ea1r3w"/>
    <s v="Ugy0fE2Gq9hLvEgPXxR4AaABAg"/>
    <s v="L3Ob_r4yk60"/>
    <s v="https://www.youtube.com/watch?v="/>
    <s v="none"/>
    <n v="4"/>
    <x v="9"/>
    <d v="2020-03-22T21:15:11.000"/>
    <m/>
    <m/>
    <m/>
    <n v="2"/>
    <s v="7"/>
    <s v="7"/>
    <n v="0"/>
    <n v="0"/>
    <n v="2"/>
    <n v="15.384615384615385"/>
    <n v="0"/>
    <n v="0"/>
    <n v="11"/>
    <n v="84.61538461538461"/>
    <n v="13"/>
  </r>
  <r>
    <s v="UCXIdsaCiwO4wx2sa4Ea1r3w"/>
    <s v="UCQszm97yuyMfeNLjNhLQtjg"/>
    <m/>
    <m/>
    <m/>
    <m/>
    <m/>
    <m/>
    <m/>
    <m/>
    <s v="No"/>
    <n v="13"/>
    <m/>
    <m/>
    <s v="Replied Comment"/>
    <s v="Reply"/>
    <s v="@joan anthony I blame the store!  Stop this mess now!"/>
    <s v="UCXIdsaCiwO4wx2sa4Ea1r3w"/>
    <s v="Z K"/>
    <s v="http://www.youtube.com/channel/UCXIdsaCiwO4wx2sa4Ea1r3w"/>
    <s v="Ugy0fE2Gq9hLvEgPXxR4AaABAg"/>
    <s v="L3Ob_r4yk60"/>
    <s v="https://www.youtube.com/watch?v="/>
    <s v="none"/>
    <n v="2"/>
    <x v="10"/>
    <d v="2020-03-22T21:16:07.000"/>
    <m/>
    <m/>
    <m/>
    <n v="2"/>
    <s v="7"/>
    <s v="7"/>
    <n v="0"/>
    <n v="0"/>
    <n v="2"/>
    <n v="20"/>
    <n v="0"/>
    <n v="0"/>
    <n v="8"/>
    <n v="80"/>
    <n v="10"/>
  </r>
  <r>
    <s v="UCm5lH-uUs6RBSPWDdLHBeHQ"/>
    <s v="UCQszm97yuyMfeNLjNhLQtjg"/>
    <m/>
    <m/>
    <m/>
    <m/>
    <m/>
    <m/>
    <m/>
    <m/>
    <s v="No"/>
    <n v="14"/>
    <m/>
    <m/>
    <s v="Replied Comment"/>
    <s v="Reply"/>
    <s v="Some people feel no shame!"/>
    <s v="UCm5lH-uUs6RBSPWDdLHBeHQ"/>
    <s v="Leslie Wheeler"/>
    <s v="http://www.youtube.com/channel/UCm5lH-uUs6RBSPWDdLHBeHQ"/>
    <s v="Ugy0fE2Gq9hLvEgPXxR4AaABAg"/>
    <s v="L3Ob_r4yk60"/>
    <s v="https://www.youtube.com/watch?v="/>
    <s v="none"/>
    <n v="0"/>
    <x v="11"/>
    <d v="2020-03-23T03:08:10.000"/>
    <m/>
    <m/>
    <m/>
    <n v="1"/>
    <s v="7"/>
    <s v="7"/>
    <n v="0"/>
    <n v="0"/>
    <n v="1"/>
    <n v="20"/>
    <n v="0"/>
    <n v="0"/>
    <n v="4"/>
    <n v="80"/>
    <n v="5"/>
  </r>
  <r>
    <s v="UC513I_mp7Vn5vmB9xoFAXWA"/>
    <s v="UCQszm97yuyMfeNLjNhLQtjg"/>
    <m/>
    <m/>
    <m/>
    <m/>
    <m/>
    <m/>
    <m/>
    <m/>
    <s v="No"/>
    <n v="15"/>
    <m/>
    <m/>
    <s v="Replied Comment"/>
    <s v="Reply"/>
    <s v="Really, where is the common sense of  cashier and the manager?"/>
    <s v="UC513I_mp7Vn5vmB9xoFAXWA"/>
    <s v="73151cb"/>
    <s v="http://www.youtube.com/channel/UC513I_mp7Vn5vmB9xoFAXWA"/>
    <s v="Ugy0fE2Gq9hLvEgPXxR4AaABAg"/>
    <s v="L3Ob_r4yk60"/>
    <s v="https://www.youtube.com/watch?v="/>
    <s v="none"/>
    <n v="3"/>
    <x v="12"/>
    <d v="2020-03-23T01:32:17.000"/>
    <m/>
    <m/>
    <m/>
    <n v="2"/>
    <s v="7"/>
    <s v="7"/>
    <n v="0"/>
    <n v="0"/>
    <n v="0"/>
    <n v="0"/>
    <n v="0"/>
    <n v="0"/>
    <n v="11"/>
    <n v="100"/>
    <n v="11"/>
  </r>
  <r>
    <s v="UC513I_mp7Vn5vmB9xoFAXWA"/>
    <s v="UCQszm97yuyMfeNLjNhLQtjg"/>
    <m/>
    <m/>
    <m/>
    <m/>
    <m/>
    <m/>
    <m/>
    <m/>
    <s v="No"/>
    <n v="16"/>
    <m/>
    <m/>
    <s v="Replied Comment"/>
    <s v="Reply"/>
    <s v="@Leslie Wheeler If there were a lot more people like her, the human race wold have died out long ago. The true story of our species is one of love, honor, pride, compassion and sacrifice.  That ignorant woman is simply choosing not to participate, jumping right into the dustbin of wasted life. And how sad it is so easily seen that she is a Trumper."/>
    <s v="UC513I_mp7Vn5vmB9xoFAXWA"/>
    <s v="73151cb"/>
    <s v="http://www.youtube.com/channel/UC513I_mp7Vn5vmB9xoFAXWA"/>
    <s v="Ugy0fE2Gq9hLvEgPXxR4AaABAg"/>
    <s v="L3Ob_r4yk60"/>
    <s v="https://www.youtube.com/watch?v="/>
    <s v="none"/>
    <n v="2"/>
    <x v="13"/>
    <d v="2020-03-23T13:54:56.000"/>
    <m/>
    <m/>
    <m/>
    <n v="2"/>
    <s v="7"/>
    <s v="7"/>
    <n v="6"/>
    <n v="9.23076923076923"/>
    <n v="4"/>
    <n v="6.153846153846154"/>
    <n v="0"/>
    <n v="0"/>
    <n v="55"/>
    <n v="84.61538461538461"/>
    <n v="65"/>
  </r>
  <r>
    <s v="UCZRsbwr8wtLjxR2tQRMZA9A"/>
    <s v="UCQszm97yuyMfeNLjNhLQtjg"/>
    <m/>
    <m/>
    <m/>
    <m/>
    <m/>
    <m/>
    <m/>
    <m/>
    <s v="No"/>
    <n v="17"/>
    <m/>
    <m/>
    <s v="Replied Comment"/>
    <s v="Reply"/>
    <s v="18000....Are you fucking serious .... Just disgusting"/>
    <s v="UCZRsbwr8wtLjxR2tQRMZA9A"/>
    <s v="Make It Make Sense"/>
    <s v="http://www.youtube.com/channel/UCZRsbwr8wtLjxR2tQRMZA9A"/>
    <s v="Ugy0fE2Gq9hLvEgPXxR4AaABAg"/>
    <s v="L3Ob_r4yk60"/>
    <s v="https://www.youtube.com/watch?v="/>
    <s v="none"/>
    <n v="0"/>
    <x v="14"/>
    <d v="2020-04-08T06:26:20.000"/>
    <m/>
    <m/>
    <m/>
    <n v="1"/>
    <s v="7"/>
    <s v="7"/>
    <n v="0"/>
    <n v="0"/>
    <n v="2"/>
    <n v="28.571428571428573"/>
    <n v="0"/>
    <n v="0"/>
    <n v="5"/>
    <n v="71.42857142857143"/>
    <n v="7"/>
  </r>
  <r>
    <s v="UC48GDyHlhY6qMDusEqwsJLQ"/>
    <s v="UCQszm97yuyMfeNLjNhLQtjg"/>
    <m/>
    <m/>
    <m/>
    <m/>
    <m/>
    <m/>
    <m/>
    <m/>
    <s v="No"/>
    <n v="18"/>
    <m/>
    <m/>
    <s v="Replied Comment"/>
    <s v="Reply"/>
    <s v="What?!"/>
    <s v="UC48GDyHlhY6qMDusEqwsJLQ"/>
    <s v="terry helton"/>
    <s v="http://www.youtube.com/channel/UC48GDyHlhY6qMDusEqwsJLQ"/>
    <s v="Ugy0fE2Gq9hLvEgPXxR4AaABAg"/>
    <s v="L3Ob_r4yk60"/>
    <s v="https://www.youtube.com/watch?v="/>
    <s v="none"/>
    <n v="2"/>
    <x v="15"/>
    <d v="2020-03-22T11:17:21.000"/>
    <m/>
    <m/>
    <m/>
    <n v="2"/>
    <s v="3"/>
    <s v="7"/>
    <n v="0"/>
    <n v="0"/>
    <n v="0"/>
    <n v="0"/>
    <n v="0"/>
    <n v="0"/>
    <n v="1"/>
    <n v="100"/>
    <n v="1"/>
  </r>
  <r>
    <s v="UC48GDyHlhY6qMDusEqwsJLQ"/>
    <s v="UCQszm97yuyMfeNLjNhLQtjg"/>
    <m/>
    <m/>
    <m/>
    <m/>
    <m/>
    <m/>
    <m/>
    <m/>
    <s v="No"/>
    <n v="19"/>
    <m/>
    <m/>
    <s v="Replied Comment"/>
    <s v="Reply"/>
    <s v="JonnyB Good to hear that. This shit&amp;#39;s serious. You can&amp;#39;t act like you&amp;#39;re scalping tickets."/>
    <s v="UC48GDyHlhY6qMDusEqwsJLQ"/>
    <s v="terry helton"/>
    <s v="http://www.youtube.com/channel/UC48GDyHlhY6qMDusEqwsJLQ"/>
    <s v="Ugy0fE2Gq9hLvEgPXxR4AaABAg"/>
    <s v="L3Ob_r4yk60"/>
    <s v="https://www.youtube.com/watch?v="/>
    <s v="none"/>
    <n v="16"/>
    <x v="16"/>
    <d v="2020-03-22T11:55:30.000"/>
    <m/>
    <m/>
    <m/>
    <n v="2"/>
    <s v="3"/>
    <s v="7"/>
    <n v="2"/>
    <n v="9.523809523809524"/>
    <n v="1"/>
    <n v="4.761904761904762"/>
    <n v="0"/>
    <n v="0"/>
    <n v="18"/>
    <n v="85.71428571428571"/>
    <n v="21"/>
  </r>
  <r>
    <s v="UCvFvo310EFTNVcGfu0vvTPg"/>
    <s v="UCQszm97yuyMfeNLjNhLQtjg"/>
    <m/>
    <m/>
    <m/>
    <m/>
    <m/>
    <m/>
    <m/>
    <m/>
    <s v="No"/>
    <n v="20"/>
    <m/>
    <m/>
    <s v="Replied Comment"/>
    <s v="Reply"/>
    <s v="@JonnyB He bought 28,000 bottles.  I believe that he was told that he would be charged if he didn&amp;#39;t hand it over so he lost all the money he spent on it.  &lt;br /&gt;They should definitely go after this woman but the store should get a warning too as they are colluding with it.  It is hard for someone sitting at a till to stand up to people like this but if they won&amp;#39;t the store should call the police.&lt;br /&gt;Everyone needs to be responsible but stores need to force people like this to be."/>
    <s v="UCvFvo310EFTNVcGfu0vvTPg"/>
    <s v="joan anthony"/>
    <s v="http://www.youtube.com/channel/UCvFvo310EFTNVcGfu0vvTPg"/>
    <s v="Ugy0fE2Gq9hLvEgPXxR4AaABAg"/>
    <s v="L3Ob_r4yk60"/>
    <s v="https://www.youtube.com/watch?v="/>
    <s v="none"/>
    <n v="24"/>
    <x v="17"/>
    <d v="2020-03-22T12:37:28.000"/>
    <m/>
    <m/>
    <m/>
    <n v="1"/>
    <s v="3"/>
    <s v="7"/>
    <n v="3"/>
    <n v="2.9702970297029703"/>
    <n v="3"/>
    <n v="2.9702970297029703"/>
    <n v="0"/>
    <n v="0"/>
    <n v="95"/>
    <n v="94.05940594059406"/>
    <n v="101"/>
  </r>
  <r>
    <s v="UCcpk4DMUL77bDwnugsEEHwQ"/>
    <s v="UCQszm97yuyMfeNLjNhLQtjg"/>
    <m/>
    <m/>
    <m/>
    <m/>
    <m/>
    <m/>
    <m/>
    <m/>
    <s v="No"/>
    <n v="21"/>
    <m/>
    <m/>
    <s v="Replied Comment"/>
    <s v="Reply"/>
    <s v="Agreed that&amp;#39;s just messed up. Dollar tree should put a limit on hand sanitizer and essentials."/>
    <s v="UCcpk4DMUL77bDwnugsEEHwQ"/>
    <s v="Gamer4LIfe_07"/>
    <s v="http://www.youtube.com/channel/UCcpk4DMUL77bDwnugsEEHwQ"/>
    <s v="Ugy0fE2Gq9hLvEgPXxR4AaABAg"/>
    <s v="L3Ob_r4yk60"/>
    <s v="https://www.youtube.com/watch?v="/>
    <s v="none"/>
    <n v="13"/>
    <x v="18"/>
    <d v="2020-03-22T13:04:30.000"/>
    <m/>
    <m/>
    <m/>
    <n v="1"/>
    <s v="6"/>
    <s v="7"/>
    <n v="0"/>
    <n v="0"/>
    <n v="2"/>
    <n v="11.11111111111111"/>
    <n v="0"/>
    <n v="0"/>
    <n v="16"/>
    <n v="88.88888888888889"/>
    <n v="18"/>
  </r>
  <r>
    <s v="UCQszm97yuyMfeNLjNhLQtjg"/>
    <s v="UCjRXO-HSl5XpuF-cWvtMV_g"/>
    <m/>
    <m/>
    <m/>
    <m/>
    <m/>
    <m/>
    <m/>
    <m/>
    <s v="No"/>
    <n v="22"/>
    <m/>
    <m/>
    <s v="Commented Video"/>
    <s v="Comment"/>
    <s v="The store should have put a limit on the product .This isn&amp;#39;t right &lt;br /&gt;They should do her like the guy who bought 18,000 bottles of hand&lt;br /&gt;sanitizer &lt;br /&gt;PURE GREED"/>
    <s v="UCQszm97yuyMfeNLjNhLQtjg"/>
    <s v="Brian Johnson"/>
    <s v="http://www.youtube.com/channel/UCQszm97yuyMfeNLjNhLQtjg"/>
    <m/>
    <s v="L3Ob_r4yk60"/>
    <s v="https://www.youtube.com/watch?v=L3Ob_r4yk60"/>
    <s v="none"/>
    <n v="186"/>
    <x v="19"/>
    <d v="2020-03-22T10:53:23.000"/>
    <m/>
    <m/>
    <m/>
    <n v="1"/>
    <s v="7"/>
    <s v="1"/>
    <n v="3"/>
    <n v="8.571428571428571"/>
    <n v="2"/>
    <n v="5.714285714285714"/>
    <n v="0"/>
    <n v="0"/>
    <n v="30"/>
    <n v="85.71428571428571"/>
    <n v="35"/>
  </r>
  <r>
    <s v="UCz5qRMQF5M6D4SpON8nzbHg"/>
    <s v="UCyX1u6BJ7pON23E-9mIXl8Q"/>
    <m/>
    <m/>
    <m/>
    <m/>
    <m/>
    <m/>
    <m/>
    <m/>
    <s v="No"/>
    <n v="23"/>
    <m/>
    <m/>
    <s v="Replied Comment"/>
    <s v="Reply"/>
    <s v="I thought the same thing, the only difference between trump and biden  is he is more obnoxious."/>
    <s v="UCz5qRMQF5M6D4SpON8nzbHg"/>
    <s v="Nakaelena"/>
    <s v="http://www.youtube.com/channel/UCz5qRMQF5M6D4SpON8nzbHg"/>
    <s v="UgwZBFKRI9M0JfeVcxx4AaABAg"/>
    <s v="L3Ob_r4yk60"/>
    <s v="https://www.youtube.com/watch?v="/>
    <s v="none"/>
    <n v="10"/>
    <x v="20"/>
    <d v="2020-03-22T12:18:32.000"/>
    <m/>
    <m/>
    <m/>
    <n v="2"/>
    <s v="5"/>
    <s v="5"/>
    <n v="0"/>
    <n v="0"/>
    <n v="1"/>
    <n v="5.882352941176471"/>
    <n v="0"/>
    <n v="0"/>
    <n v="16"/>
    <n v="94.11764705882354"/>
    <n v="17"/>
  </r>
  <r>
    <s v="UCz5qRMQF5M6D4SpON8nzbHg"/>
    <s v="UCyX1u6BJ7pON23E-9mIXl8Q"/>
    <m/>
    <m/>
    <m/>
    <m/>
    <m/>
    <m/>
    <m/>
    <m/>
    <s v="No"/>
    <n v="24"/>
    <m/>
    <m/>
    <s v="Replied Comment"/>
    <s v="Reply"/>
    <s v="@joan anthony &lt;br /&gt;Thought:&lt;br /&gt;You know I have been researching through political history and I am not sure if the democratic party has EVER been for the people. The GOP have historically been such bastards that the Dems look good by comparison. &lt;br /&gt;But what have the really done for the people that the weren&amp;#39;t pulled kicking and screaming to the side of... right?"/>
    <s v="UCz5qRMQF5M6D4SpON8nzbHg"/>
    <s v="Nakaelena"/>
    <s v="http://www.youtube.com/channel/UCz5qRMQF5M6D4SpON8nzbHg"/>
    <s v="UgwZBFKRI9M0JfeVcxx4AaABAg"/>
    <s v="L3Ob_r4yk60"/>
    <s v="https://www.youtube.com/watch?v="/>
    <s v="none"/>
    <n v="8"/>
    <x v="21"/>
    <d v="2020-03-22T13:01:41.000"/>
    <m/>
    <m/>
    <m/>
    <n v="2"/>
    <s v="5"/>
    <s v="5"/>
    <n v="2"/>
    <n v="2.985074626865672"/>
    <n v="1"/>
    <n v="1.492537313432836"/>
    <n v="0"/>
    <n v="0"/>
    <n v="64"/>
    <n v="95.5223880597015"/>
    <n v="67"/>
  </r>
  <r>
    <s v="UCtEdGDji4XmV0hboA_wm0_g"/>
    <s v="UCyX1u6BJ7pON23E-9mIXl8Q"/>
    <m/>
    <m/>
    <m/>
    <m/>
    <m/>
    <m/>
    <m/>
    <m/>
    <s v="No"/>
    <n v="25"/>
    <m/>
    <m/>
    <s v="Replied Comment"/>
    <s v="Reply"/>
    <s v="@joan anthony Are you telling me, Johnson, that you have Johnson?"/>
    <s v="UCtEdGDji4XmV0hboA_wm0_g"/>
    <s v="Lawrence Taylor"/>
    <s v="http://www.youtube.com/channel/UCtEdGDji4XmV0hboA_wm0_g"/>
    <s v="UgwZBFKRI9M0JfeVcxx4AaABAg"/>
    <s v="L3Ob_r4yk60"/>
    <s v="https://www.youtube.com/watch?v="/>
    <s v="none"/>
    <n v="2"/>
    <x v="22"/>
    <d v="2020-03-22T13:28:36.000"/>
    <m/>
    <m/>
    <m/>
    <n v="1"/>
    <s v="5"/>
    <s v="5"/>
    <n v="0"/>
    <n v="0"/>
    <n v="0"/>
    <n v="0"/>
    <n v="0"/>
    <n v="0"/>
    <n v="11"/>
    <n v="100"/>
    <n v="11"/>
  </r>
  <r>
    <s v="UCIvbhIsBxxNyHDQrRHZjY5w"/>
    <s v="UCyX1u6BJ7pON23E-9mIXl8Q"/>
    <m/>
    <m/>
    <m/>
    <m/>
    <m/>
    <m/>
    <m/>
    <m/>
    <s v="No"/>
    <n v="26"/>
    <m/>
    <m/>
    <s v="Replied Comment"/>
    <s v="Reply"/>
    <s v="Yes!! Exactly!!"/>
    <s v="UCIvbhIsBxxNyHDQrRHZjY5w"/>
    <s v="Ron Porter"/>
    <s v="http://www.youtube.com/channel/UCIvbhIsBxxNyHDQrRHZjY5w"/>
    <s v="UgwZBFKRI9M0JfeVcxx4AaABAg"/>
    <s v="L3Ob_r4yk60"/>
    <s v="https://www.youtube.com/watch?v="/>
    <s v="none"/>
    <n v="0"/>
    <x v="23"/>
    <d v="2020-03-22T14:02:55.000"/>
    <m/>
    <m/>
    <m/>
    <n v="1"/>
    <s v="5"/>
    <s v="5"/>
    <n v="0"/>
    <n v="0"/>
    <n v="0"/>
    <n v="0"/>
    <n v="0"/>
    <n v="0"/>
    <n v="2"/>
    <n v="100"/>
    <n v="2"/>
  </r>
  <r>
    <s v="UC6Uo2ffY8Bie7FRTjvyqnog"/>
    <s v="UCyX1u6BJ7pON23E-9mIXl8Q"/>
    <m/>
    <m/>
    <m/>
    <m/>
    <m/>
    <m/>
    <m/>
    <m/>
    <s v="No"/>
    <n v="27"/>
    <m/>
    <m/>
    <s v="Replied Comment"/>
    <s v="Reply"/>
    <s v="crash bandicoot I can’t wait for trump to go in on Biden. It’s gonna be so entertaining"/>
    <s v="UC6Uo2ffY8Bie7FRTjvyqnog"/>
    <s v="SnapShot's Reviews"/>
    <s v="http://www.youtube.com/channel/UC6Uo2ffY8Bie7FRTjvyqnog"/>
    <s v="UgwZBFKRI9M0JfeVcxx4AaABAg"/>
    <s v="L3Ob_r4yk60"/>
    <s v="https://www.youtube.com/watch?v="/>
    <s v="none"/>
    <n v="3"/>
    <x v="24"/>
    <d v="2020-03-22T14:06:09.000"/>
    <m/>
    <m/>
    <m/>
    <n v="1"/>
    <s v="5"/>
    <s v="5"/>
    <n v="1"/>
    <n v="5.2631578947368425"/>
    <n v="1"/>
    <n v="5.2631578947368425"/>
    <n v="0"/>
    <n v="0"/>
    <n v="17"/>
    <n v="89.47368421052632"/>
    <n v="19"/>
  </r>
  <r>
    <s v="UCJJBoNgLMuT2OEwqKxqd74Q"/>
    <s v="UCyX1u6BJ7pON23E-9mIXl8Q"/>
    <m/>
    <m/>
    <m/>
    <m/>
    <m/>
    <m/>
    <m/>
    <m/>
    <s v="No"/>
    <n v="28"/>
    <m/>
    <m/>
    <s v="Replied Comment"/>
    <s v="Reply"/>
    <s v="@joan anthony Late capitalism is barbaric. Either the multiracial working class fights for the things we need and against the things that harm us or we will endure more barbarism."/>
    <s v="UCJJBoNgLMuT2OEwqKxqd74Q"/>
    <s v="Don Deering"/>
    <s v="http://www.youtube.com/channel/UCJJBoNgLMuT2OEwqKxqd74Q"/>
    <s v="UgwZBFKRI9M0JfeVcxx4AaABAg"/>
    <s v="L3Ob_r4yk60"/>
    <s v="https://www.youtube.com/watch?v="/>
    <s v="none"/>
    <n v="2"/>
    <x v="25"/>
    <d v="2020-03-22T14:15:13.000"/>
    <m/>
    <m/>
    <m/>
    <n v="1"/>
    <s v="5"/>
    <s v="5"/>
    <n v="0"/>
    <n v="0"/>
    <n v="2"/>
    <n v="6.666666666666667"/>
    <n v="0"/>
    <n v="0"/>
    <n v="28"/>
    <n v="93.33333333333333"/>
    <n v="30"/>
  </r>
  <r>
    <s v="UCOrav9J_4AA_YhwEKB6GsBA"/>
    <s v="UCyX1u6BJ7pON23E-9mIXl8Q"/>
    <m/>
    <m/>
    <m/>
    <m/>
    <m/>
    <m/>
    <m/>
    <m/>
    <s v="No"/>
    <n v="29"/>
    <m/>
    <m/>
    <s v="Replied Comment"/>
    <s v="Reply"/>
    <s v="In all fairness, I don&amp;#39;t think he actually says millennials.  He just implies young people, which for Joe includes 60-year-olds."/>
    <s v="UCOrav9J_4AA_YhwEKB6GsBA"/>
    <s v="ghenulo"/>
    <s v="http://www.youtube.com/channel/UCOrav9J_4AA_YhwEKB6GsBA"/>
    <s v="UgwZBFKRI9M0JfeVcxx4AaABAg"/>
    <s v="L3Ob_r4yk60"/>
    <s v="https://www.youtube.com/watch?v="/>
    <s v="none"/>
    <n v="1"/>
    <x v="26"/>
    <d v="2020-03-22T15:09:04.000"/>
    <m/>
    <m/>
    <m/>
    <n v="1"/>
    <s v="5"/>
    <s v="5"/>
    <n v="1"/>
    <n v="4.166666666666667"/>
    <n v="0"/>
    <n v="0"/>
    <n v="0"/>
    <n v="0"/>
    <n v="23"/>
    <n v="95.83333333333333"/>
    <n v="24"/>
  </r>
  <r>
    <s v="UCRNjXS-Xvgsjau1kpPWOtIw"/>
    <s v="UCyX1u6BJ7pON23E-9mIXl8Q"/>
    <m/>
    <m/>
    <m/>
    <m/>
    <m/>
    <m/>
    <m/>
    <m/>
    <s v="No"/>
    <n v="30"/>
    <m/>
    <m/>
    <s v="Replied Comment"/>
    <s v="Reply"/>
    <s v="crash bandicoot... he’s an unapologetic hypocrite."/>
    <s v="UCRNjXS-Xvgsjau1kpPWOtIw"/>
    <s v="oandersontech"/>
    <s v="http://www.youtube.com/channel/UCRNjXS-Xvgsjau1kpPWOtIw"/>
    <s v="UgwZBFKRI9M0JfeVcxx4AaABAg"/>
    <s v="L3Ob_r4yk60"/>
    <s v="https://www.youtube.com/watch?v="/>
    <s v="none"/>
    <n v="1"/>
    <x v="27"/>
    <d v="2020-03-22T16:49:59.000"/>
    <m/>
    <m/>
    <m/>
    <n v="1"/>
    <s v="5"/>
    <s v="5"/>
    <n v="0"/>
    <n v="0"/>
    <n v="2"/>
    <n v="28.571428571428573"/>
    <n v="0"/>
    <n v="0"/>
    <n v="5"/>
    <n v="71.42857142857143"/>
    <n v="7"/>
  </r>
  <r>
    <s v="UC2bxB4kLFJJgl28Xg749ufQ"/>
    <s v="UCyX1u6BJ7pON23E-9mIXl8Q"/>
    <m/>
    <m/>
    <m/>
    <m/>
    <m/>
    <m/>
    <m/>
    <m/>
    <s v="No"/>
    <n v="31"/>
    <m/>
    <m/>
    <s v="Replied Comment"/>
    <s v="Reply"/>
    <s v="That wasn&amp;#39;t years ago that was actually MONTHS AGO!!!"/>
    <s v="UC2bxB4kLFJJgl28Xg749ufQ"/>
    <s v="Marian Foreman"/>
    <s v="http://www.youtube.com/channel/UC2bxB4kLFJJgl28Xg749ufQ"/>
    <s v="UgwZBFKRI9M0JfeVcxx4AaABAg"/>
    <s v="L3Ob_r4yk60"/>
    <s v="https://www.youtube.com/watch?v="/>
    <s v="none"/>
    <n v="1"/>
    <x v="28"/>
    <d v="2020-03-22T20:23:30.000"/>
    <m/>
    <m/>
    <m/>
    <n v="1"/>
    <s v="5"/>
    <s v="5"/>
    <n v="0"/>
    <n v="0"/>
    <n v="0"/>
    <n v="0"/>
    <n v="0"/>
    <n v="0"/>
    <n v="11"/>
    <n v="100"/>
    <n v="11"/>
  </r>
  <r>
    <s v="UCyTcGBoN5yg6tR0luGdGE1w"/>
    <s v="UCyX1u6BJ7pON23E-9mIXl8Q"/>
    <m/>
    <m/>
    <m/>
    <m/>
    <m/>
    <m/>
    <m/>
    <m/>
    <s v="No"/>
    <n v="32"/>
    <m/>
    <m/>
    <s v="Replied Comment"/>
    <s v="Reply"/>
    <s v="@SnapShot&amp;#39;s Reviews if there are any debates that is😂"/>
    <s v="UCyTcGBoN5yg6tR0luGdGE1w"/>
    <s v="Hans Moelders"/>
    <s v="http://www.youtube.com/channel/UCyTcGBoN5yg6tR0luGdGE1w"/>
    <s v="UgwZBFKRI9M0JfeVcxx4AaABAg"/>
    <s v="L3Ob_r4yk60"/>
    <s v="https://www.youtube.com/watch?v="/>
    <s v="none"/>
    <n v="0"/>
    <x v="29"/>
    <d v="2020-03-23T08:54:43.000"/>
    <m/>
    <m/>
    <m/>
    <n v="1"/>
    <s v="5"/>
    <s v="5"/>
    <n v="0"/>
    <n v="0"/>
    <n v="0"/>
    <n v="0"/>
    <n v="0"/>
    <n v="0"/>
    <n v="11"/>
    <n v="100"/>
    <n v="11"/>
  </r>
  <r>
    <s v="UC86XgDGeeokFIkMDP3shLaQ"/>
    <s v="UCyX1u6BJ7pON23E-9mIXl8Q"/>
    <m/>
    <m/>
    <m/>
    <m/>
    <m/>
    <m/>
    <m/>
    <m/>
    <s v="No"/>
    <n v="33"/>
    <m/>
    <m/>
    <s v="Replied Comment"/>
    <s v="Reply"/>
    <s v="Yup. Told them to quit complaining (about their student debt)."/>
    <s v="UC86XgDGeeokFIkMDP3shLaQ"/>
    <s v="gwg5640"/>
    <s v="http://www.youtube.com/channel/UC86XgDGeeokFIkMDP3shLaQ"/>
    <s v="UgwZBFKRI9M0JfeVcxx4AaABAg"/>
    <s v="L3Ob_r4yk60"/>
    <s v="https://www.youtube.com/watch?v="/>
    <s v="none"/>
    <n v="0"/>
    <x v="30"/>
    <d v="2020-03-23T09:11:07.000"/>
    <m/>
    <m/>
    <m/>
    <n v="1"/>
    <s v="5"/>
    <s v="5"/>
    <n v="0"/>
    <n v="0"/>
    <n v="2"/>
    <n v="20"/>
    <n v="0"/>
    <n v="0"/>
    <n v="8"/>
    <n v="80"/>
    <n v="10"/>
  </r>
  <r>
    <s v="UCvFvo310EFTNVcGfu0vvTPg"/>
    <s v="UCyX1u6BJ7pON23E-9mIXl8Q"/>
    <m/>
    <m/>
    <m/>
    <m/>
    <m/>
    <m/>
    <m/>
    <m/>
    <s v="No"/>
    <n v="34"/>
    <m/>
    <m/>
    <s v="Replied Comment"/>
    <s v="Reply"/>
    <s v="@Nakaelena I agree.  Trump is horrible but he can also be funny.  Biden is horrible and that is all he is.  Neither of them should be president.  I can understand the DNC trying to push him through because they are paranoid about Bernie charging them more tax or imposing things like rent caps but what is it with American people who pretend that the bad sides of him don&amp;#39;t exist.  They call accusations of him groping children, smears even though there are plenty of videos and some are very disturbing.  Trump is creepy too but do people really want a choice of someone who gropes 14 year olds and someone who gropes 8 year olds?  Is that really ok?&lt;br /&gt;Mind you, I am in the UK and we have Johnson so I don&amp;#39;t understand English people either."/>
    <s v="UCvFvo310EFTNVcGfu0vvTPg"/>
    <s v="joan anthony"/>
    <s v="http://www.youtube.com/channel/UCvFvo310EFTNVcGfu0vvTPg"/>
    <s v="UgwZBFKRI9M0JfeVcxx4AaABAg"/>
    <s v="L3Ob_r4yk60"/>
    <s v="https://www.youtube.com/watch?v="/>
    <s v="none"/>
    <n v="17"/>
    <x v="31"/>
    <d v="2020-03-22T12:40:41.000"/>
    <m/>
    <m/>
    <m/>
    <n v="1"/>
    <s v="3"/>
    <s v="5"/>
    <n v="1"/>
    <n v="0.704225352112676"/>
    <n v="10"/>
    <n v="7.042253521126761"/>
    <n v="0"/>
    <n v="0"/>
    <n v="131"/>
    <n v="92.25352112676056"/>
    <n v="142"/>
  </r>
  <r>
    <s v="UCyX1u6BJ7pON23E-9mIXl8Q"/>
    <s v="UCjRXO-HSl5XpuF-cWvtMV_g"/>
    <m/>
    <m/>
    <m/>
    <m/>
    <m/>
    <m/>
    <m/>
    <m/>
    <s v="No"/>
    <n v="35"/>
    <m/>
    <m/>
    <s v="Commented Video"/>
    <s v="Comment"/>
    <s v="I find it hilarious that Joe Biden says Donald Trump has no empathy mean well he was really caught on camera a couple years ago saying that he has no empathy for millennials"/>
    <s v="UCyX1u6BJ7pON23E-9mIXl8Q"/>
    <s v="crash bandicoot"/>
    <s v="http://www.youtube.com/channel/UCyX1u6BJ7pON23E-9mIXl8Q"/>
    <m/>
    <s v="L3Ob_r4yk60"/>
    <s v="https://www.youtube.com/watch?v=L3Ob_r4yk60"/>
    <s v="none"/>
    <n v="207"/>
    <x v="32"/>
    <d v="2020-03-22T10:53:26.000"/>
    <m/>
    <m/>
    <m/>
    <n v="1"/>
    <s v="5"/>
    <s v="1"/>
    <n v="4"/>
    <n v="12.121212121212121"/>
    <n v="0"/>
    <n v="0"/>
    <n v="0"/>
    <n v="0"/>
    <n v="29"/>
    <n v="87.87878787878788"/>
    <n v="33"/>
  </r>
  <r>
    <s v="UCoWqIAlBNV5YVv_KUziEPpg"/>
    <s v="UCvjWMupg9Kuzj-JBpco4L1g"/>
    <m/>
    <m/>
    <m/>
    <m/>
    <m/>
    <m/>
    <m/>
    <m/>
    <s v="No"/>
    <n v="36"/>
    <m/>
    <m/>
    <s v="Replied Comment"/>
    <s v="Reply"/>
    <s v="Padriac Pearse I like that!"/>
    <s v="UCoWqIAlBNV5YVv_KUziEPpg"/>
    <s v="jamerican347"/>
    <s v="http://www.youtube.com/channel/UCoWqIAlBNV5YVv_KUziEPpg"/>
    <s v="Ugx8TLpuMuxFH6Wzl2d4AaABAg"/>
    <s v="L3Ob_r4yk60"/>
    <s v="https://www.youtube.com/watch?v=L3Ob_r4yk60"/>
    <s v="none"/>
    <n v="3"/>
    <x v="33"/>
    <d v="2020-03-22T11:03:35.000"/>
    <m/>
    <m/>
    <m/>
    <n v="1"/>
    <s v="1"/>
    <s v="1"/>
    <n v="1"/>
    <n v="20"/>
    <n v="0"/>
    <n v="0"/>
    <n v="0"/>
    <n v="0"/>
    <n v="4"/>
    <n v="80"/>
    <n v="5"/>
  </r>
  <r>
    <s v="UCvjWMupg9Kuzj-JBpco4L1g"/>
    <s v="UCjRXO-HSl5XpuF-cWvtMV_g"/>
    <m/>
    <m/>
    <m/>
    <m/>
    <m/>
    <m/>
    <m/>
    <m/>
    <s v="No"/>
    <n v="37"/>
    <m/>
    <m/>
    <s v="Commented Video"/>
    <s v="Comment"/>
    <s v="That B is an entre-manure"/>
    <s v="UCvjWMupg9Kuzj-JBpco4L1g"/>
    <s v="Padriac Pearse"/>
    <s v="http://www.youtube.com/channel/UCvjWMupg9Kuzj-JBpco4L1g"/>
    <m/>
    <s v="L3Ob_r4yk60"/>
    <s v="https://www.youtube.com/watch?v=L3Ob_r4yk60"/>
    <s v="none"/>
    <n v="32"/>
    <x v="34"/>
    <d v="2020-03-22T10:53:28.000"/>
    <m/>
    <m/>
    <m/>
    <n v="1"/>
    <s v="1"/>
    <s v="1"/>
    <n v="0"/>
    <n v="0"/>
    <n v="0"/>
    <n v="0"/>
    <n v="0"/>
    <n v="0"/>
    <n v="6"/>
    <n v="100"/>
    <n v="6"/>
  </r>
  <r>
    <s v="UCKPAlKUaoq6_h3rj8AyguRg"/>
    <s v="UCI4AiCGAZDk7M_ecuqxNxNA"/>
    <m/>
    <m/>
    <m/>
    <m/>
    <m/>
    <m/>
    <m/>
    <m/>
    <s v="No"/>
    <n v="38"/>
    <m/>
    <m/>
    <s v="Replied Comment"/>
    <s v="Reply"/>
    <s v="I saw 2 packs of napkins yesterday on the shelf at the gas station....grabbed one. Hope the other one went to someone who needed it.....da phuck is wrong people?"/>
    <s v="UCKPAlKUaoq6_h3rj8AyguRg"/>
    <s v="BOUGHT BOT"/>
    <s v="http://www.youtube.com/channel/UCKPAlKUaoq6_h3rj8AyguRg"/>
    <s v="UgwV93MZunoWArLU0Z54AaABAg"/>
    <s v="L3Ob_r4yk60"/>
    <s v="https://www.youtube.com/watch?v=L3Ob_r4yk60"/>
    <s v="none"/>
    <n v="1"/>
    <x v="35"/>
    <d v="2020-03-23T14:59:35.000"/>
    <m/>
    <m/>
    <m/>
    <n v="1"/>
    <s v="1"/>
    <s v="1"/>
    <n v="0"/>
    <n v="0"/>
    <n v="1"/>
    <n v="3.225806451612903"/>
    <n v="0"/>
    <n v="0"/>
    <n v="30"/>
    <n v="96.7741935483871"/>
    <n v="31"/>
  </r>
  <r>
    <s v="UCwLvX1xSEvRJ0HxWIRIu6-g"/>
    <s v="UCI4AiCGAZDk7M_ecuqxNxNA"/>
    <m/>
    <m/>
    <m/>
    <m/>
    <m/>
    <m/>
    <m/>
    <m/>
    <s v="No"/>
    <n v="39"/>
    <m/>
    <m/>
    <s v="Replied Comment"/>
    <s v="Reply"/>
    <s v="Yeah she had to have known this store wasn&amp;#39;t imposing limits or has an in cause every store I&amp;#39;ve gone to in freaking FL no less has limits to stop stuff like this even if corporate hasn&amp;#39;t given them the go ahead. &lt;br /&gt;&lt;br /&gt;My dad (also a Trump supporter and so called Christian) in NJ actually took the only 6 cans of Lysol a Dollar store had to give to my mom and me which made me furious. I&amp;#39;m giving 3 away once they get here."/>
    <s v="UCwLvX1xSEvRJ0HxWIRIu6-g"/>
    <s v="The Dynast Queen"/>
    <s v="http://www.youtube.com/channel/UCwLvX1xSEvRJ0HxWIRIu6-g"/>
    <s v="UgwV93MZunoWArLU0Z54AaABAg"/>
    <s v="L3Ob_r4yk60"/>
    <s v="https://www.youtube.com/watch?v=L3Ob_r4yk60"/>
    <s v="none"/>
    <n v="0"/>
    <x v="36"/>
    <d v="2020-03-24T03:03:55.000"/>
    <m/>
    <m/>
    <m/>
    <n v="1"/>
    <s v="1"/>
    <s v="1"/>
    <n v="2"/>
    <n v="2.1052631578947367"/>
    <n v="5"/>
    <n v="5.2631578947368425"/>
    <n v="0"/>
    <n v="0"/>
    <n v="88"/>
    <n v="92.63157894736842"/>
    <n v="95"/>
  </r>
  <r>
    <s v="UCI4AiCGAZDk7M_ecuqxNxNA"/>
    <s v="UCjRXO-HSl5XpuF-cWvtMV_g"/>
    <m/>
    <m/>
    <m/>
    <m/>
    <m/>
    <m/>
    <m/>
    <m/>
    <s v="No"/>
    <n v="40"/>
    <m/>
    <m/>
    <s v="Commented Video"/>
    <s v="Comment"/>
    <s v="Even the 99 Cents Only Store will not sell more than 2 rolls of toilet paper (which they currently do not have), eggs or bread. They have some morals."/>
    <s v="UCI4AiCGAZDk7M_ecuqxNxNA"/>
    <s v="JasonOnEarth"/>
    <s v="http://www.youtube.com/channel/UCI4AiCGAZDk7M_ecuqxNxNA"/>
    <m/>
    <s v="L3Ob_r4yk60"/>
    <s v="https://www.youtube.com/watch?v=L3Ob_r4yk60"/>
    <s v="none"/>
    <n v="58"/>
    <x v="37"/>
    <d v="2020-03-22T10:55:12.000"/>
    <m/>
    <m/>
    <m/>
    <n v="1"/>
    <s v="1"/>
    <s v="1"/>
    <n v="0"/>
    <n v="0"/>
    <n v="0"/>
    <n v="0"/>
    <n v="0"/>
    <n v="0"/>
    <n v="29"/>
    <n v="100"/>
    <n v="29"/>
  </r>
  <r>
    <s v="UCxB8kqvB0eNH6ORX6l1yPbg"/>
    <s v="UCaGhXr-kvN_GI1muhSsXTrg"/>
    <m/>
    <m/>
    <m/>
    <m/>
    <m/>
    <m/>
    <m/>
    <m/>
    <s v="No"/>
    <n v="41"/>
    <m/>
    <m/>
    <s v="Replied Comment"/>
    <s v="Reply"/>
    <s v="This is why our founding fathers implemented the electoral college."/>
    <s v="UCxB8kqvB0eNH6ORX6l1yPbg"/>
    <s v="JB Estrada"/>
    <s v="http://www.youtube.com/channel/UCxB8kqvB0eNH6ORX6l1yPbg"/>
    <s v="UgwEA__HYCi2nvwUmst4AaABAg"/>
    <s v="L3Ob_r4yk60"/>
    <s v="https://www.youtube.com/watch?v="/>
    <s v="none"/>
    <n v="1"/>
    <x v="38"/>
    <d v="2020-03-22T11:12:24.000"/>
    <m/>
    <m/>
    <m/>
    <n v="1"/>
    <s v="8"/>
    <s v="8"/>
    <n v="0"/>
    <n v="0"/>
    <n v="0"/>
    <n v="0"/>
    <n v="0"/>
    <n v="0"/>
    <n v="10"/>
    <n v="100"/>
    <n v="10"/>
  </r>
  <r>
    <s v="UChDa7-LeLEDuk7xkf7wHCbg"/>
    <s v="UCaGhXr-kvN_GI1muhSsXTrg"/>
    <m/>
    <m/>
    <m/>
    <m/>
    <m/>
    <m/>
    <m/>
    <m/>
    <s v="No"/>
    <n v="42"/>
    <m/>
    <m/>
    <s v="Replied Comment"/>
    <s v="Reply"/>
    <s v="It&amp;#39;s pretty obvious, you can tell easily by her character that she&amp;#39;s selfish.  A decent person doesn&amp;#39;t do that or act this way."/>
    <s v="UChDa7-LeLEDuk7xkf7wHCbg"/>
    <s v="gabe687"/>
    <s v="http://www.youtube.com/channel/UChDa7-LeLEDuk7xkf7wHCbg"/>
    <s v="UgwEA__HYCi2nvwUmst4AaABAg"/>
    <s v="L3Ob_r4yk60"/>
    <s v="https://www.youtube.com/watch?v="/>
    <s v="none"/>
    <n v="7"/>
    <x v="39"/>
    <d v="2020-03-22T11:12:37.000"/>
    <m/>
    <m/>
    <m/>
    <n v="1"/>
    <s v="8"/>
    <s v="8"/>
    <n v="2"/>
    <n v="6.896551724137931"/>
    <n v="1"/>
    <n v="3.4482758620689653"/>
    <n v="0"/>
    <n v="0"/>
    <n v="26"/>
    <n v="89.65517241379311"/>
    <n v="29"/>
  </r>
  <r>
    <s v="UCa9ECoAwB9PGwGp8HBr0ceA"/>
    <s v="UCaGhXr-kvN_GI1muhSsXTrg"/>
    <m/>
    <m/>
    <m/>
    <m/>
    <m/>
    <m/>
    <m/>
    <m/>
    <s v="No"/>
    <n v="43"/>
    <m/>
    <m/>
    <s v="Replied Comment"/>
    <s v="Reply"/>
    <s v="If she was nice she would have given the lady a box"/>
    <s v="UCa9ECoAwB9PGwGp8HBr0ceA"/>
    <s v="Target Store"/>
    <s v="http://www.youtube.com/channel/UCa9ECoAwB9PGwGp8HBr0ceA"/>
    <s v="UgwEA__HYCi2nvwUmst4AaABAg"/>
    <s v="L3Ob_r4yk60"/>
    <s v="https://www.youtube.com/watch?v="/>
    <s v="none"/>
    <n v="0"/>
    <x v="40"/>
    <d v="2020-03-22T17:01:17.000"/>
    <m/>
    <m/>
    <m/>
    <n v="1"/>
    <s v="8"/>
    <s v="8"/>
    <n v="1"/>
    <n v="8.333333333333334"/>
    <n v="0"/>
    <n v="0"/>
    <n v="0"/>
    <n v="0"/>
    <n v="11"/>
    <n v="91.66666666666667"/>
    <n v="12"/>
  </r>
  <r>
    <s v="UCLswkNtcRTygrVqG-VufI9A"/>
    <s v="UCaGhXr-kvN_GI1muhSsXTrg"/>
    <m/>
    <m/>
    <m/>
    <m/>
    <m/>
    <m/>
    <m/>
    <m/>
    <s v="No"/>
    <n v="44"/>
    <m/>
    <m/>
    <s v="Replied Comment"/>
    <s v="Reply"/>
    <s v="Debbie dumb"/>
    <s v="UCLswkNtcRTygrVqG-VufI9A"/>
    <s v="micky"/>
    <s v="http://www.youtube.com/channel/UCLswkNtcRTygrVqG-VufI9A"/>
    <s v="UgwEA__HYCi2nvwUmst4AaABAg"/>
    <s v="L3Ob_r4yk60"/>
    <s v="https://www.youtube.com/watch?v="/>
    <s v="none"/>
    <n v="11"/>
    <x v="41"/>
    <d v="2020-03-22T11:02:13.000"/>
    <m/>
    <m/>
    <m/>
    <n v="1"/>
    <s v="8"/>
    <s v="8"/>
    <n v="0"/>
    <n v="0"/>
    <n v="1"/>
    <n v="50"/>
    <n v="0"/>
    <n v="0"/>
    <n v="1"/>
    <n v="50"/>
    <n v="2"/>
  </r>
  <r>
    <s v="UC4GOUO7fjBrBfeRSiMAl31Q"/>
    <s v="UCaGhXr-kvN_GI1muhSsXTrg"/>
    <m/>
    <m/>
    <m/>
    <m/>
    <m/>
    <m/>
    <m/>
    <m/>
    <s v="No"/>
    <n v="45"/>
    <m/>
    <m/>
    <s v="Replied Comment"/>
    <s v="Reply"/>
    <s v="Maybe, go back and watch the video.  Someone donating to a shelter or some such would just say that.  She STARTED by giving the recorder the bird!  Nah she&amp;#39;s not a nice person."/>
    <s v="UC4GOUO7fjBrBfeRSiMAl31Q"/>
    <s v="Kath Casey"/>
    <s v="http://www.youtube.com/channel/UC4GOUO7fjBrBfeRSiMAl31Q"/>
    <s v="UgwEA__HYCi2nvwUmst4AaABAg"/>
    <s v="L3Ob_r4yk60"/>
    <s v="https://www.youtube.com/watch?v="/>
    <s v="none"/>
    <n v="6"/>
    <x v="42"/>
    <d v="2020-03-22T11:27:54.000"/>
    <m/>
    <m/>
    <m/>
    <n v="1"/>
    <s v="8"/>
    <s v="8"/>
    <n v="1"/>
    <n v="2.857142857142857"/>
    <n v="0"/>
    <n v="0"/>
    <n v="0"/>
    <n v="0"/>
    <n v="34"/>
    <n v="97.14285714285714"/>
    <n v="35"/>
  </r>
  <r>
    <s v="UCIykfDLsjZByMEXDU7XqVhg"/>
    <s v="UCaGhXr-kvN_GI1muhSsXTrg"/>
    <m/>
    <m/>
    <m/>
    <m/>
    <m/>
    <m/>
    <m/>
    <m/>
    <s v="No"/>
    <n v="46"/>
    <m/>
    <m/>
    <s v="Replied Comment"/>
    <s v="Reply"/>
    <s v="Please stay in Florida."/>
    <s v="UCIykfDLsjZByMEXDU7XqVhg"/>
    <s v="doomstar 24"/>
    <s v="http://www.youtube.com/channel/UCIykfDLsjZByMEXDU7XqVhg"/>
    <s v="UgwEA__HYCi2nvwUmst4AaABAg"/>
    <s v="L3Ob_r4yk60"/>
    <s v="https://www.youtube.com/watch?v="/>
    <s v="none"/>
    <n v="0"/>
    <x v="43"/>
    <d v="2020-03-22T14:19:35.000"/>
    <m/>
    <m/>
    <m/>
    <n v="1"/>
    <s v="1"/>
    <s v="8"/>
    <n v="0"/>
    <n v="0"/>
    <n v="0"/>
    <n v="0"/>
    <n v="0"/>
    <n v="0"/>
    <n v="4"/>
    <n v="100"/>
    <n v="4"/>
  </r>
  <r>
    <s v="UCaGhXr-kvN_GI1muhSsXTrg"/>
    <s v="UCjRXO-HSl5XpuF-cWvtMV_g"/>
    <m/>
    <m/>
    <m/>
    <m/>
    <m/>
    <m/>
    <m/>
    <m/>
    <s v="No"/>
    <n v="47"/>
    <m/>
    <m/>
    <s v="Commented Video"/>
    <s v="Comment"/>
    <s v="How does anyone know she isn’t donating this to a shelter or church. Why jump to conclusions that she’s selling these to make a profit! Right away jump to it’s President Trump’s fault! He’s telling people don’t buy large amounts! Right away....Far left socialist hypocrisy! That woman filming was taunting her. After her harassing &amp;amp; filming like that, I would have told her the same thing! Trump 2Q2Q!"/>
    <s v="UCaGhXr-kvN_GI1muhSsXTrg"/>
    <s v="Debbie Munn"/>
    <s v="http://www.youtube.com/channel/UCaGhXr-kvN_GI1muhSsXTrg"/>
    <m/>
    <s v="L3Ob_r4yk60"/>
    <s v="https://www.youtube.com/watch?v=L3Ob_r4yk60"/>
    <s v="none"/>
    <n v="1"/>
    <x v="44"/>
    <d v="2020-03-22T11:00:03.000"/>
    <m/>
    <m/>
    <m/>
    <n v="1"/>
    <s v="8"/>
    <s v="1"/>
    <n v="3"/>
    <n v="4"/>
    <n v="3"/>
    <n v="4"/>
    <n v="0"/>
    <n v="0"/>
    <n v="69"/>
    <n v="92"/>
    <n v="75"/>
  </r>
  <r>
    <s v="UCIMEtwv81uPCn_KmlW6iOlA"/>
    <s v="UCnFJ4cNNQdb9kvmTZAIgKsw"/>
    <m/>
    <m/>
    <m/>
    <m/>
    <m/>
    <m/>
    <m/>
    <m/>
    <s v="No"/>
    <n v="48"/>
    <m/>
    <m/>
    <s v="Replied Comment"/>
    <s v="Reply"/>
    <s v="LMFAO. Sure he is."/>
    <s v="UCIMEtwv81uPCn_KmlW6iOlA"/>
    <s v="Kenneth McNeil"/>
    <s v="http://www.youtube.com/channel/UCIMEtwv81uPCn_KmlW6iOlA"/>
    <s v="UgyCKMkc_f79j-15Bvt4AaABAg"/>
    <s v="L3Ob_r4yk60"/>
    <s v="https://www.youtube.com/watch?v=L3Ob_r4yk60"/>
    <s v="none"/>
    <n v="4"/>
    <x v="45"/>
    <d v="2020-03-22T11:04:26.000"/>
    <m/>
    <m/>
    <m/>
    <n v="1"/>
    <s v="1"/>
    <s v="1"/>
    <n v="0"/>
    <n v="0"/>
    <n v="0"/>
    <n v="0"/>
    <n v="0"/>
    <n v="0"/>
    <n v="4"/>
    <n v="100"/>
    <n v="4"/>
  </r>
  <r>
    <s v="UCnFJ4cNNQdb9kvmTZAIgKsw"/>
    <s v="UCjRXO-HSl5XpuF-cWvtMV_g"/>
    <m/>
    <m/>
    <m/>
    <m/>
    <m/>
    <m/>
    <m/>
    <m/>
    <s v="No"/>
    <n v="49"/>
    <m/>
    <m/>
    <s v="Commented Video"/>
    <s v="Comment"/>
    <s v="Joe is a fake...a.total.fake and corrupt paracite..but bernie is the BIGGEST OF ALL.."/>
    <s v="UCnFJ4cNNQdb9kvmTZAIgKsw"/>
    <s v="Sislertx"/>
    <s v="http://www.youtube.com/channel/UCnFJ4cNNQdb9kvmTZAIgKsw"/>
    <m/>
    <s v="L3Ob_r4yk60"/>
    <s v="https://www.youtube.com/watch?v=L3Ob_r4yk60"/>
    <s v="none"/>
    <n v="0"/>
    <x v="46"/>
    <d v="2020-03-22T11:02:50.000"/>
    <m/>
    <m/>
    <m/>
    <n v="1"/>
    <s v="1"/>
    <s v="1"/>
    <n v="0"/>
    <n v="0"/>
    <n v="3"/>
    <n v="17.647058823529413"/>
    <n v="0"/>
    <n v="0"/>
    <n v="14"/>
    <n v="82.3529411764706"/>
    <n v="17"/>
  </r>
  <r>
    <s v="UCzqDt_l9Cg3kZA3Wuo2b88Q"/>
    <s v="UC_cOJVzPhf7iG2A5wj3eTKw"/>
    <m/>
    <m/>
    <m/>
    <m/>
    <m/>
    <m/>
    <m/>
    <m/>
    <s v="No"/>
    <n v="50"/>
    <m/>
    <m/>
    <s v="Replied Comment"/>
    <s v="Reply"/>
    <s v="Bernie says his good friend Joe Biden can beat Trump in November."/>
    <s v="UCzqDt_l9Cg3kZA3Wuo2b88Q"/>
    <s v="Giles Habibula"/>
    <s v="http://www.youtube.com/channel/UCzqDt_l9Cg3kZA3Wuo2b88Q"/>
    <s v="Ugy_ZQJ1Q7ZgWZ7MvJB4AaABAg"/>
    <s v="L3Ob_r4yk60"/>
    <s v="https://www.youtube.com/watch?v=L3Ob_r4yk60"/>
    <s v="none"/>
    <n v="0"/>
    <x v="47"/>
    <d v="2020-03-22T11:14:40.000"/>
    <m/>
    <m/>
    <m/>
    <n v="1"/>
    <s v="3"/>
    <s v="3"/>
    <n v="1"/>
    <n v="8.333333333333334"/>
    <n v="0"/>
    <n v="0"/>
    <n v="0"/>
    <n v="0"/>
    <n v="11"/>
    <n v="91.66666666666667"/>
    <n v="12"/>
  </r>
  <r>
    <s v="UC48GDyHlhY6qMDusEqwsJLQ"/>
    <s v="UC_cOJVzPhf7iG2A5wj3eTKw"/>
    <m/>
    <m/>
    <m/>
    <m/>
    <m/>
    <m/>
    <m/>
    <m/>
    <s v="No"/>
    <n v="51"/>
    <m/>
    <m/>
    <s v="Replied Comment"/>
    <s v="Reply"/>
    <s v="He should. Bernie-Nina 2020."/>
    <s v="UC48GDyHlhY6qMDusEqwsJLQ"/>
    <s v="terry helton"/>
    <s v="http://www.youtube.com/channel/UC48GDyHlhY6qMDusEqwsJLQ"/>
    <s v="Ugy_ZQJ1Q7ZgWZ7MvJB4AaABAg"/>
    <s v="L3Ob_r4yk60"/>
    <s v="https://www.youtube.com/watch?v=L3Ob_r4yk60"/>
    <s v="none"/>
    <n v="3"/>
    <x v="48"/>
    <d v="2020-03-22T11:15:09.000"/>
    <m/>
    <m/>
    <m/>
    <n v="1"/>
    <s v="3"/>
    <s v="3"/>
    <n v="0"/>
    <n v="0"/>
    <n v="0"/>
    <n v="0"/>
    <n v="0"/>
    <n v="0"/>
    <n v="5"/>
    <n v="100"/>
    <n v="5"/>
  </r>
  <r>
    <s v="UCP4dWyJzFjajeL-6LZpaxxg"/>
    <s v="UC_cOJVzPhf7iG2A5wj3eTKw"/>
    <m/>
    <m/>
    <m/>
    <m/>
    <m/>
    <m/>
    <m/>
    <m/>
    <s v="No"/>
    <n v="52"/>
    <m/>
    <m/>
    <s v="Replied Comment"/>
    <s v="Reply"/>
    <s v="It would feel good short term, but that would taint the &amp;quot;progressive&amp;quot; types too much and blame Dems losing on &amp;quot;socialist&amp;quot; types.&lt;br /&gt;&lt;br /&gt;Just vote third party, it&amp;#39;s what I&amp;#39;m doing and I live in a swing state."/>
    <s v="UCP4dWyJzFjajeL-6LZpaxxg"/>
    <s v="Kyle Lovell"/>
    <s v="http://www.youtube.com/channel/UCP4dWyJzFjajeL-6LZpaxxg"/>
    <s v="Ugy_ZQJ1Q7ZgWZ7MvJB4AaABAg"/>
    <s v="L3Ob_r4yk60"/>
    <s v="https://www.youtube.com/watch?v=L3Ob_r4yk60"/>
    <s v="none"/>
    <n v="4"/>
    <x v="49"/>
    <d v="2020-03-22T11:55:48.000"/>
    <m/>
    <m/>
    <m/>
    <n v="1"/>
    <s v="3"/>
    <s v="3"/>
    <n v="2"/>
    <n v="4.25531914893617"/>
    <n v="3"/>
    <n v="6.382978723404255"/>
    <n v="0"/>
    <n v="0"/>
    <n v="42"/>
    <n v="89.36170212765957"/>
    <n v="47"/>
  </r>
  <r>
    <s v="UCEumYcqRhFB_50mlEbGDCIQ"/>
    <s v="UC_cOJVzPhf7iG2A5wj3eTKw"/>
    <m/>
    <m/>
    <m/>
    <m/>
    <m/>
    <m/>
    <m/>
    <m/>
    <s v="No"/>
    <n v="53"/>
    <m/>
    <m/>
    <s v="Replied Comment"/>
    <s v="Reply"/>
    <s v="@Kyle Lovell Bernie supporters voting 3rd party will pull that party up into public relevancy."/>
    <s v="UCEumYcqRhFB_50mlEbGDCIQ"/>
    <s v="Jinn Doe"/>
    <s v="http://www.youtube.com/channel/UCEumYcqRhFB_50mlEbGDCIQ"/>
    <s v="Ugy_ZQJ1Q7ZgWZ7MvJB4AaABAg"/>
    <s v="L3Ob_r4yk60"/>
    <s v="https://www.youtube.com/watch?v=L3Ob_r4yk60"/>
    <s v="none"/>
    <n v="2"/>
    <x v="50"/>
    <d v="2020-03-22T13:01:54.000"/>
    <m/>
    <m/>
    <m/>
    <n v="1"/>
    <s v="3"/>
    <s v="3"/>
    <n v="0"/>
    <n v="0"/>
    <n v="0"/>
    <n v="0"/>
    <n v="0"/>
    <n v="0"/>
    <n v="15"/>
    <n v="100"/>
    <n v="15"/>
  </r>
  <r>
    <s v="UCvFvo310EFTNVcGfu0vvTPg"/>
    <s v="UC_cOJVzPhf7iG2A5wj3eTKw"/>
    <m/>
    <m/>
    <m/>
    <m/>
    <m/>
    <m/>
    <m/>
    <m/>
    <s v="No"/>
    <n v="54"/>
    <m/>
    <m/>
    <s v="Replied Comment"/>
    <s v="Reply"/>
    <s v="@Kyle Lovell I hope left wing sites start interviewing people from third parties and talking about them more.  You never know.  The turnout is likely to be low so it might be the best change for a good third party candidate.  It is the only way to give the DNC a slap and get rid of Trump."/>
    <s v="UCvFvo310EFTNVcGfu0vvTPg"/>
    <s v="joan anthony"/>
    <s v="http://www.youtube.com/channel/UCvFvo310EFTNVcGfu0vvTPg"/>
    <s v="Ugy_ZQJ1Q7ZgWZ7MvJB4AaABAg"/>
    <s v="L3Ob_r4yk60"/>
    <s v="https://www.youtube.com/watch?v=L3Ob_r4yk60"/>
    <s v="none"/>
    <n v="0"/>
    <x v="51"/>
    <d v="2020-03-22T13:00:55.000"/>
    <m/>
    <m/>
    <m/>
    <n v="1"/>
    <s v="3"/>
    <s v="3"/>
    <n v="2"/>
    <n v="3.508771929824561"/>
    <n v="1"/>
    <n v="1.7543859649122806"/>
    <n v="0"/>
    <n v="0"/>
    <n v="54"/>
    <n v="94.73684210526316"/>
    <n v="57"/>
  </r>
  <r>
    <s v="UC_cOJVzPhf7iG2A5wj3eTKw"/>
    <s v="UCjRXO-HSl5XpuF-cWvtMV_g"/>
    <m/>
    <m/>
    <m/>
    <m/>
    <m/>
    <m/>
    <m/>
    <m/>
    <s v="No"/>
    <n v="55"/>
    <m/>
    <m/>
    <s v="Commented Video"/>
    <s v="Comment"/>
    <s v="I think it’s the perfect time for Bernie 😎 to announce that he’s going third party. Bernie “I wrote the damn bill “Sanders 2020!!"/>
    <s v="UC_cOJVzPhf7iG2A5wj3eTKw"/>
    <s v="Richard Smith"/>
    <s v="http://www.youtube.com/channel/UC_cOJVzPhf7iG2A5wj3eTKw"/>
    <m/>
    <s v="L3Ob_r4yk60"/>
    <s v="https://www.youtube.com/watch?v=L3Ob_r4yk60"/>
    <s v="none"/>
    <n v="13"/>
    <x v="52"/>
    <d v="2020-03-22T11:03:00.000"/>
    <m/>
    <m/>
    <m/>
    <n v="1"/>
    <s v="3"/>
    <s v="1"/>
    <n v="1"/>
    <n v="4"/>
    <n v="1"/>
    <n v="4"/>
    <n v="0"/>
    <n v="0"/>
    <n v="23"/>
    <n v="92"/>
    <n v="25"/>
  </r>
  <r>
    <s v="UCS7JpwViCLoWo4cGVGzMGDQ"/>
    <s v="UCVkBNuh0NbeouMbE8fjGm8w"/>
    <m/>
    <m/>
    <m/>
    <m/>
    <m/>
    <m/>
    <m/>
    <m/>
    <s v="No"/>
    <n v="56"/>
    <m/>
    <m/>
    <s v="Replied Comment"/>
    <s v="Reply"/>
    <s v="The employee can&amp;#39;t reject a sale without getting in trouble with management. The store itself is definitely to blame, but the employee can&amp;#39;t afford to get fired in the middle of a pandemic. Especially when America is so anti-worker.&lt;br /&gt;Here in Tokyo, without being prompted, convenience stores, pharmacies and super markets self-imposed a 1-per-costumer daily limit on stuff like masks, toilet paper and all. It&amp;#39;s not like this hurts the bottom line of the stores even, since even with that, they are still selling more masks and toilet paper than in any given month. This is just the ethical thing to do, plain and simple."/>
    <s v="UCS7JpwViCLoWo4cGVGzMGDQ"/>
    <s v="JGCR 45"/>
    <s v="http://www.youtube.com/channel/UCS7JpwViCLoWo4cGVGzMGDQ"/>
    <s v="UgwbmjyVM1SSIJtccTR4AaABAg"/>
    <s v="L3Ob_r4yk60"/>
    <s v="https://www.youtube.com/watch?v=L3Ob_r4yk60"/>
    <s v="none"/>
    <n v="4"/>
    <x v="53"/>
    <d v="2020-03-22T11:10:59.000"/>
    <m/>
    <m/>
    <m/>
    <n v="1"/>
    <s v="1"/>
    <s v="1"/>
    <n v="6"/>
    <n v="5.172413793103448"/>
    <n v="5"/>
    <n v="4.310344827586207"/>
    <n v="0"/>
    <n v="0"/>
    <n v="105"/>
    <n v="90.51724137931035"/>
    <n v="116"/>
  </r>
  <r>
    <s v="UCVkBNuh0NbeouMbE8fjGm8w"/>
    <s v="UCVkBNuh0NbeouMbE8fjGm8w"/>
    <m/>
    <m/>
    <m/>
    <m/>
    <m/>
    <m/>
    <m/>
    <m/>
    <s v="No"/>
    <n v="57"/>
    <m/>
    <m/>
    <s v="Replied Comment"/>
    <s v="Reply"/>
    <s v="@JGCR 45 I dont think so I was in a grocery store on Tuesday a man had two carts full paper towels and tissue the store manager mad him put it back. and told the man that&amp;#39;s not fair to people that need it two."/>
    <s v="UCVkBNuh0NbeouMbE8fjGm8w"/>
    <s v="Shawn west"/>
    <s v="http://www.youtube.com/channel/UCVkBNuh0NbeouMbE8fjGm8w"/>
    <s v="UgwbmjyVM1SSIJtccTR4AaABAg"/>
    <s v="L3Ob_r4yk60"/>
    <s v="https://www.youtube.com/watch?v=L3Ob_r4yk60"/>
    <s v="none"/>
    <n v="3"/>
    <x v="54"/>
    <d v="2020-03-22T11:34:28.000"/>
    <m/>
    <m/>
    <m/>
    <n v="1"/>
    <s v="1"/>
    <s v="1"/>
    <n v="1"/>
    <n v="2.127659574468085"/>
    <n v="1"/>
    <n v="2.127659574468085"/>
    <n v="0"/>
    <n v="0"/>
    <n v="45"/>
    <n v="95.74468085106383"/>
    <n v="47"/>
  </r>
  <r>
    <s v="UCVkBNuh0NbeouMbE8fjGm8w"/>
    <s v="UCjRXO-HSl5XpuF-cWvtMV_g"/>
    <m/>
    <m/>
    <m/>
    <m/>
    <m/>
    <m/>
    <m/>
    <m/>
    <s v="No"/>
    <n v="58"/>
    <m/>
    <m/>
    <s v="Commented Video"/>
    <s v="Comment"/>
    <s v="Who ever was the employees working in that store and let them take all the supplies should be fired. that woman had to have a family member our friend working in that store to pul that off."/>
    <s v="UCVkBNuh0NbeouMbE8fjGm8w"/>
    <s v="Shawn west"/>
    <s v="http://www.youtube.com/channel/UCVkBNuh0NbeouMbE8fjGm8w"/>
    <m/>
    <s v="L3Ob_r4yk60"/>
    <s v="https://www.youtube.com/watch?v=L3Ob_r4yk60"/>
    <s v="none"/>
    <n v="6"/>
    <x v="55"/>
    <d v="2020-03-22T11:10:34.000"/>
    <m/>
    <m/>
    <m/>
    <n v="1"/>
    <s v="1"/>
    <s v="1"/>
    <n v="0"/>
    <n v="0"/>
    <n v="0"/>
    <n v="0"/>
    <n v="0"/>
    <n v="0"/>
    <n v="37"/>
    <n v="100"/>
    <n v="37"/>
  </r>
  <r>
    <s v="UCaV83QCCICMomi4nDLmMIPg"/>
    <s v="UCKUjp1gdGVpRVCkfcUM35ng"/>
    <m/>
    <m/>
    <m/>
    <m/>
    <m/>
    <m/>
    <m/>
    <m/>
    <s v="No"/>
    <n v="59"/>
    <m/>
    <m/>
    <s v="Replied Comment"/>
    <s v="Reply"/>
    <s v="Yup. Rugged individualism &amp;amp; corporate greed are the foundations of neo liberalism. I hope this crisis causes a reevaluation of how things are done- but I have very little faith the people with the power to actually change things won&amp;#39;t."/>
    <s v="UCaV83QCCICMomi4nDLmMIPg"/>
    <s v="Missy Rivas"/>
    <s v="http://www.youtube.com/channel/UCaV83QCCICMomi4nDLmMIPg"/>
    <s v="UgwBnq8hl__uGdQv1l94AaABAg"/>
    <s v="L3Ob_r4yk60"/>
    <s v="https://www.youtube.com/watch?v="/>
    <s v="none"/>
    <n v="6"/>
    <x v="56"/>
    <d v="2020-03-22T12:17:58.000"/>
    <m/>
    <m/>
    <m/>
    <n v="1"/>
    <s v="2"/>
    <s v="2"/>
    <n v="2"/>
    <n v="4.761904761904762"/>
    <n v="2"/>
    <n v="4.761904761904762"/>
    <n v="0"/>
    <n v="0"/>
    <n v="38"/>
    <n v="90.47619047619048"/>
    <n v="42"/>
  </r>
  <r>
    <s v="UCLs7cpOjbykXTker--7B7Rw"/>
    <s v="UCKUjp1gdGVpRVCkfcUM35ng"/>
    <m/>
    <m/>
    <m/>
    <m/>
    <m/>
    <m/>
    <m/>
    <m/>
    <s v="No"/>
    <n v="60"/>
    <m/>
    <m/>
    <s v="Replied Comment"/>
    <s v="Reply"/>
    <s v="Too bad you don&amp;#39;t live next to me. My wife works at the hospital and I would have given you some for free as I have already been doing for anyone I know who needs them."/>
    <s v="UCLs7cpOjbykXTker--7B7Rw"/>
    <s v="mike lomez"/>
    <s v="http://www.youtube.com/channel/UCLs7cpOjbykXTker--7B7Rw"/>
    <s v="UgwBnq8hl__uGdQv1l94AaABAg"/>
    <s v="L3Ob_r4yk60"/>
    <s v="https://www.youtube.com/watch?v="/>
    <s v="none"/>
    <n v="4"/>
    <x v="57"/>
    <d v="2020-03-22T13:29:47.000"/>
    <m/>
    <m/>
    <m/>
    <n v="2"/>
    <s v="2"/>
    <s v="2"/>
    <n v="2"/>
    <n v="5.2631578947368425"/>
    <n v="1"/>
    <n v="2.6315789473684212"/>
    <n v="0"/>
    <n v="0"/>
    <n v="35"/>
    <n v="92.10526315789474"/>
    <n v="38"/>
  </r>
  <r>
    <s v="UCLs7cpOjbykXTker--7B7Rw"/>
    <s v="UCKUjp1gdGVpRVCkfcUM35ng"/>
    <m/>
    <m/>
    <m/>
    <m/>
    <m/>
    <m/>
    <m/>
    <m/>
    <s v="No"/>
    <n v="61"/>
    <m/>
    <m/>
    <s v="Replied Comment"/>
    <s v="Reply"/>
    <s v="@Julie Levinge I think there&amp;#39;s more like me than you think. Keep the faith 🙏"/>
    <s v="UCLs7cpOjbykXTker--7B7Rw"/>
    <s v="mike lomez"/>
    <s v="http://www.youtube.com/channel/UCLs7cpOjbykXTker--7B7Rw"/>
    <s v="UgwBnq8hl__uGdQv1l94AaABAg"/>
    <s v="L3Ob_r4yk60"/>
    <s v="https://www.youtube.com/watch?v="/>
    <s v="none"/>
    <n v="1"/>
    <x v="58"/>
    <d v="2020-03-22T13:55:37.000"/>
    <m/>
    <m/>
    <m/>
    <n v="2"/>
    <s v="2"/>
    <s v="2"/>
    <n v="2"/>
    <n v="12.5"/>
    <n v="0"/>
    <n v="0"/>
    <n v="0"/>
    <n v="0"/>
    <n v="14"/>
    <n v="87.5"/>
    <n v="16"/>
  </r>
  <r>
    <s v="UC1wz07fnWZJCU2E6pDUHv6A"/>
    <s v="UCKUjp1gdGVpRVCkfcUM35ng"/>
    <m/>
    <m/>
    <m/>
    <m/>
    <m/>
    <m/>
    <m/>
    <m/>
    <s v="No"/>
    <n v="62"/>
    <m/>
    <m/>
    <s v="Replied Comment"/>
    <s v="Reply"/>
    <s v="World Wars I and II, also during the Depression and even after, though more sporadically. My parents talked about during WW II and the Depression. Yes, it was much better then. Maybe this will bring about some change. One note: There are people who are good to others at any time, all the time, even now."/>
    <s v="UC1wz07fnWZJCU2E6pDUHv6A"/>
    <s v="angela bluebird60"/>
    <s v="http://www.youtube.com/channel/UC1wz07fnWZJCU2E6pDUHv6A"/>
    <s v="UgyQO_Gy0KIWuEdpoIJ4AaABAg"/>
    <s v="L3Ob_r4yk60"/>
    <s v="https://www.youtube.com/watch?v=L3Ob_r4yk60"/>
    <s v="none"/>
    <n v="3"/>
    <x v="59"/>
    <d v="2020-03-22T12:14:36.000"/>
    <m/>
    <m/>
    <m/>
    <n v="1"/>
    <s v="2"/>
    <s v="2"/>
    <n v="2"/>
    <n v="3.5714285714285716"/>
    <n v="2"/>
    <n v="3.5714285714285716"/>
    <n v="0"/>
    <n v="0"/>
    <n v="52"/>
    <n v="92.85714285714286"/>
    <n v="56"/>
  </r>
  <r>
    <s v="UCvFvo310EFTNVcGfu0vvTPg"/>
    <s v="UCKUjp1gdGVpRVCkfcUM35ng"/>
    <m/>
    <m/>
    <m/>
    <m/>
    <m/>
    <m/>
    <m/>
    <m/>
    <s v="No"/>
    <n v="63"/>
    <m/>
    <m/>
    <s v="Replied Comment"/>
    <s v="Reply"/>
    <s v="@angela bluebird60 I think it is a bit overstated.  People look back nostalgically but there is always a thriving black market during wars.  In London, raids during the blitz were common.  &lt;br /&gt;Any plan should always include the acknowledgment that people are likely to be either (i) stupid or (ii) greedy.  Sometimes it is genuine panic but people need to learn to control that."/>
    <s v="UCvFvo310EFTNVcGfu0vvTPg"/>
    <s v="joan anthony"/>
    <s v="http://www.youtube.com/channel/UCvFvo310EFTNVcGfu0vvTPg"/>
    <s v="UgyQO_Gy0KIWuEdpoIJ4AaABAg"/>
    <s v="L3Ob_r4yk60"/>
    <s v="https://www.youtube.com/watch?v=L3Ob_r4yk60"/>
    <s v="none"/>
    <n v="1"/>
    <x v="60"/>
    <d v="2020-03-22T12:47:59.000"/>
    <m/>
    <m/>
    <m/>
    <n v="2"/>
    <s v="3"/>
    <s v="2"/>
    <n v="2"/>
    <n v="3.125"/>
    <n v="4"/>
    <n v="6.25"/>
    <n v="0"/>
    <n v="0"/>
    <n v="58"/>
    <n v="90.625"/>
    <n v="64"/>
  </r>
  <r>
    <s v="UCKUjp1gdGVpRVCkfcUM35ng"/>
    <s v="UCjRXO-HSl5XpuF-cWvtMV_g"/>
    <m/>
    <m/>
    <m/>
    <m/>
    <m/>
    <m/>
    <m/>
    <m/>
    <s v="No"/>
    <n v="64"/>
    <m/>
    <m/>
    <s v="Commented Video"/>
    <s v="Comment"/>
    <s v="When was that?? When we took care of each other??? World war 1 or world war 2??????"/>
    <s v="UCKUjp1gdGVpRVCkfcUM35ng"/>
    <s v="Julie Levinge"/>
    <s v="http://www.youtube.com/channel/UCKUjp1gdGVpRVCkfcUM35ng"/>
    <m/>
    <s v="L3Ob_r4yk60"/>
    <s v="https://www.youtube.com/watch?v=L3Ob_r4yk60"/>
    <s v="none"/>
    <n v="15"/>
    <x v="61"/>
    <d v="2020-03-22T11:00:56.000"/>
    <m/>
    <m/>
    <m/>
    <n v="2"/>
    <s v="2"/>
    <s v="1"/>
    <n v="0"/>
    <n v="0"/>
    <n v="0"/>
    <n v="0"/>
    <n v="0"/>
    <n v="0"/>
    <n v="17"/>
    <n v="100"/>
    <n v="17"/>
  </r>
  <r>
    <s v="UCvFvo310EFTNVcGfu0vvTPg"/>
    <s v="UCKUjp1gdGVpRVCkfcUM35ng"/>
    <m/>
    <m/>
    <m/>
    <m/>
    <m/>
    <m/>
    <m/>
    <m/>
    <s v="No"/>
    <n v="65"/>
    <m/>
    <m/>
    <s v="Replied Comment"/>
    <s v="Reply"/>
    <s v="Yes, looters who are starving during a hurricane got shot or arrested.  This couple might yet get arrested though."/>
    <s v="UCvFvo310EFTNVcGfu0vvTPg"/>
    <s v="joan anthony"/>
    <s v="http://www.youtube.com/channel/UCvFvo310EFTNVcGfu0vvTPg"/>
    <s v="UgwBnq8hl__uGdQv1l94AaABAg"/>
    <s v="L3Ob_r4yk60"/>
    <s v="https://www.youtube.com/watch?v="/>
    <s v="none"/>
    <n v="5"/>
    <x v="62"/>
    <d v="2020-03-22T12:45:06.000"/>
    <m/>
    <m/>
    <m/>
    <n v="2"/>
    <s v="3"/>
    <s v="2"/>
    <n v="0"/>
    <n v="0"/>
    <n v="0"/>
    <n v="0"/>
    <n v="0"/>
    <n v="0"/>
    <n v="19"/>
    <n v="100"/>
    <n v="19"/>
  </r>
  <r>
    <s v="UCKUjp1gdGVpRVCkfcUM35ng"/>
    <s v="UCKUjp1gdGVpRVCkfcUM35ng"/>
    <m/>
    <m/>
    <m/>
    <m/>
    <m/>
    <m/>
    <m/>
    <m/>
    <s v="No"/>
    <n v="66"/>
    <m/>
    <m/>
    <s v="Replied Comment"/>
    <s v="Reply"/>
    <s v="mike lomez Your the type of person we need in a crisis takecare✊♥️"/>
    <s v="UCKUjp1gdGVpRVCkfcUM35ng"/>
    <s v="Julie Levinge"/>
    <s v="http://www.youtube.com/channel/UCKUjp1gdGVpRVCkfcUM35ng"/>
    <s v="UgwBnq8hl__uGdQv1l94AaABAg"/>
    <s v="L3Ob_r4yk60"/>
    <s v="https://www.youtube.com/watch?v="/>
    <s v="none"/>
    <n v="3"/>
    <x v="63"/>
    <d v="2020-03-22T13:53:36.000"/>
    <m/>
    <m/>
    <m/>
    <n v="1"/>
    <s v="2"/>
    <s v="2"/>
    <n v="0"/>
    <n v="0"/>
    <n v="1"/>
    <n v="7.6923076923076925"/>
    <n v="0"/>
    <n v="0"/>
    <n v="12"/>
    <n v="92.3076923076923"/>
    <n v="13"/>
  </r>
  <r>
    <s v="UCBwIvSHzNL5sWjN0hcFGb2g"/>
    <s v="UCKUjp1gdGVpRVCkfcUM35ng"/>
    <m/>
    <m/>
    <m/>
    <m/>
    <m/>
    <m/>
    <m/>
    <m/>
    <s v="No"/>
    <n v="67"/>
    <m/>
    <m/>
    <s v="Replied Comment"/>
    <s v="Reply"/>
    <s v="Julie: We keep electing soul less psychopaths."/>
    <s v="UCBwIvSHzNL5sWjN0hcFGb2g"/>
    <s v="Malcolm Marzo"/>
    <s v="http://www.youtube.com/channel/UCBwIvSHzNL5sWjN0hcFGb2g"/>
    <s v="UgwBnq8hl__uGdQv1l94AaABAg"/>
    <s v="L3Ob_r4yk60"/>
    <s v="https://www.youtube.com/watch?v="/>
    <s v="none"/>
    <n v="2"/>
    <x v="64"/>
    <d v="2020-03-22T16:21:47.000"/>
    <m/>
    <m/>
    <m/>
    <n v="1"/>
    <s v="2"/>
    <s v="2"/>
    <n v="0"/>
    <n v="0"/>
    <n v="0"/>
    <n v="0"/>
    <n v="0"/>
    <n v="0"/>
    <n v="7"/>
    <n v="100"/>
    <n v="7"/>
  </r>
  <r>
    <s v="UCKUjp1gdGVpRVCkfcUM35ng"/>
    <s v="UCjRXO-HSl5XpuF-cWvtMV_g"/>
    <m/>
    <m/>
    <m/>
    <m/>
    <m/>
    <m/>
    <m/>
    <m/>
    <s v="No"/>
    <n v="68"/>
    <m/>
    <m/>
    <s v="Commented Video"/>
    <s v="Comment"/>
    <s v="Looters get arrested?? Yet this behaviour is ok? Thats capitalism, if your fitter than someone else take advantage!! I needed a face mask for my daughter who’s recovering from leukaemia, needs to go for vital treatment on Monday. Pharmacy where I normally buy them by the box? Gave me a single one for £10!!! Some are charging £20!!! That’s fine she’s unlucky to have leukaemia, your lucky not to,so make some money!! That’s neoliberal capitalism!! Works perfectly!!( if you don’t have a soul!)"/>
    <s v="UCKUjp1gdGVpRVCkfcUM35ng"/>
    <s v="Julie Levinge"/>
    <s v="http://www.youtube.com/channel/UCKUjp1gdGVpRVCkfcUM35ng"/>
    <m/>
    <s v="L3Ob_r4yk60"/>
    <s v="https://www.youtube.com/watch?v=L3Ob_r4yk60"/>
    <s v="none"/>
    <n v="54"/>
    <x v="65"/>
    <d v="2020-03-22T11:11:54.000"/>
    <m/>
    <m/>
    <m/>
    <n v="2"/>
    <s v="2"/>
    <s v="1"/>
    <n v="5"/>
    <n v="5.617977528089888"/>
    <n v="1"/>
    <n v="1.1235955056179776"/>
    <n v="0"/>
    <n v="0"/>
    <n v="83"/>
    <n v="93.25842696629213"/>
    <n v="89"/>
  </r>
  <r>
    <s v="UC4GOUO7fjBrBfeRSiMAl31Q"/>
    <s v="UCR-x4R2A66CvfBD3G3mFtkQ"/>
    <m/>
    <m/>
    <m/>
    <m/>
    <m/>
    <m/>
    <m/>
    <m/>
    <s v="No"/>
    <n v="69"/>
    <m/>
    <m/>
    <s v="Replied Comment"/>
    <s v="Reply"/>
    <s v="She&amp;#39;s a Trumper in the land of guns.  It could escalate quickly during this pandemic."/>
    <s v="UC4GOUO7fjBrBfeRSiMAl31Q"/>
    <s v="Kath Casey"/>
    <s v="http://www.youtube.com/channel/UC4GOUO7fjBrBfeRSiMAl31Q"/>
    <s v="Ugy3A7yQ2XIhvHGIQeZ4AaABAg"/>
    <s v="L3Ob_r4yk60"/>
    <s v="https://www.youtube.com/watch?v=L3Ob_r4yk60"/>
    <s v="none"/>
    <n v="2"/>
    <x v="66"/>
    <d v="2020-03-22T11:24:10.000"/>
    <m/>
    <m/>
    <m/>
    <n v="1"/>
    <s v="8"/>
    <s v="8"/>
    <n v="0"/>
    <n v="0"/>
    <n v="0"/>
    <n v="0"/>
    <n v="0"/>
    <n v="0"/>
    <n v="17"/>
    <n v="100"/>
    <n v="17"/>
  </r>
  <r>
    <s v="UCLswkNtcRTygrVqG-VufI9A"/>
    <s v="UCR-x4R2A66CvfBD3G3mFtkQ"/>
    <m/>
    <m/>
    <m/>
    <m/>
    <m/>
    <m/>
    <m/>
    <m/>
    <s v="No"/>
    <n v="70"/>
    <m/>
    <m/>
    <s v="Replied Comment"/>
    <s v="Reply"/>
    <s v="my thoughts too. i would have taken one just to spite her"/>
    <s v="UCLswkNtcRTygrVqG-VufI9A"/>
    <s v="micky"/>
    <s v="http://www.youtube.com/channel/UCLswkNtcRTygrVqG-VufI9A"/>
    <s v="Ugy3A7yQ2XIhvHGIQeZ4AaABAg"/>
    <s v="L3Ob_r4yk60"/>
    <s v="https://www.youtube.com/watch?v=L3Ob_r4yk60"/>
    <s v="none"/>
    <n v="2"/>
    <x v="67"/>
    <d v="2020-03-22T11:38:58.000"/>
    <m/>
    <m/>
    <m/>
    <n v="1"/>
    <s v="8"/>
    <s v="8"/>
    <n v="0"/>
    <n v="0"/>
    <n v="1"/>
    <n v="8.333333333333334"/>
    <n v="0"/>
    <n v="0"/>
    <n v="11"/>
    <n v="91.66666666666667"/>
    <n v="12"/>
  </r>
  <r>
    <s v="UCR-x4R2A66CvfBD3G3mFtkQ"/>
    <s v="UCjRXO-HSl5XpuF-cWvtMV_g"/>
    <m/>
    <m/>
    <m/>
    <m/>
    <m/>
    <m/>
    <m/>
    <m/>
    <s v="No"/>
    <n v="71"/>
    <m/>
    <m/>
    <s v="Commented Video"/>
    <s v="Comment"/>
    <s v="don&amp;#39;t these people know they aren&amp;#39;t arresting people for petty crimes during this pandemic? walk up to her little lemonaid stand and just take a box."/>
    <s v="UCR-x4R2A66CvfBD3G3mFtkQ"/>
    <s v="Reginald Stubtoe"/>
    <s v="http://www.youtube.com/channel/UCR-x4R2A66CvfBD3G3mFtkQ"/>
    <m/>
    <s v="L3Ob_r4yk60"/>
    <s v="https://www.youtube.com/watch?v=L3Ob_r4yk60"/>
    <s v="none"/>
    <n v="3"/>
    <x v="68"/>
    <d v="2020-03-22T11:12:16.000"/>
    <m/>
    <m/>
    <m/>
    <n v="1"/>
    <s v="8"/>
    <s v="1"/>
    <n v="0"/>
    <n v="0"/>
    <n v="1"/>
    <n v="3.3333333333333335"/>
    <n v="0"/>
    <n v="0"/>
    <n v="29"/>
    <n v="96.66666666666667"/>
    <n v="30"/>
  </r>
  <r>
    <s v="UCBwIvSHzNL5sWjN0hcFGb2g"/>
    <s v="UCrW4LjX9jhCdjmqt9vLpBuQ"/>
    <m/>
    <m/>
    <m/>
    <m/>
    <m/>
    <m/>
    <m/>
    <m/>
    <s v="No"/>
    <n v="72"/>
    <m/>
    <m/>
    <s v="Replied Comment"/>
    <s v="Reply"/>
    <s v="57: Yes. Why are the paper producers - like Koch&amp;#39;s Georgia Pacific - not saying nor doing anything?"/>
    <s v="UCBwIvSHzNL5sWjN0hcFGb2g"/>
    <s v="Malcolm Marzo"/>
    <s v="http://www.youtube.com/channel/UCBwIvSHzNL5sWjN0hcFGb2g"/>
    <s v="UgxscR31dGrT41O9MHJ4AaABAg"/>
    <s v="L3Ob_r4yk60"/>
    <s v="https://www.youtube.com/watch?v=L3Ob_r4yk60"/>
    <s v="none"/>
    <n v="0"/>
    <x v="69"/>
    <d v="2020-03-22T16:19:56.000"/>
    <m/>
    <m/>
    <m/>
    <n v="1"/>
    <s v="2"/>
    <s v="2"/>
    <n v="1"/>
    <n v="5.555555555555555"/>
    <n v="0"/>
    <n v="0"/>
    <n v="0"/>
    <n v="0"/>
    <n v="17"/>
    <n v="94.44444444444444"/>
    <n v="18"/>
  </r>
  <r>
    <s v="UCrW4LjX9jhCdjmqt9vLpBuQ"/>
    <s v="UCjRXO-HSl5XpuF-cWvtMV_g"/>
    <m/>
    <m/>
    <m/>
    <m/>
    <m/>
    <m/>
    <m/>
    <m/>
    <s v="No"/>
    <n v="73"/>
    <m/>
    <m/>
    <s v="Commented Video"/>
    <s v="Comment"/>
    <s v="Koch Brothers (or Koch Brother as one of them is pushing up daises now) who hold the monopoly on the Toilet Paper Industry is sittin&amp;#39; in his easy chair watching all the mayhem over his products laughing his ass off all the way to his bank probably thinkin&amp;#39;, maybe I should cut back on production to see how many people will kill each other over a roll of TP. In the meantime the Power Elites are robbin&amp;#39; the bank, startin&amp;#39; wars, and stripping all constitutional rights from the people behind the curtain."/>
    <s v="UCrW4LjX9jhCdjmqt9vLpBuQ"/>
    <s v="Freedom Fighter57"/>
    <s v="http://www.youtube.com/channel/UCrW4LjX9jhCdjmqt9vLpBuQ"/>
    <m/>
    <s v="L3Ob_r4yk60"/>
    <s v="https://www.youtube.com/watch?v=L3Ob_r4yk60"/>
    <s v="none"/>
    <n v="21"/>
    <x v="70"/>
    <d v="2020-03-22T11:12:36.000"/>
    <m/>
    <m/>
    <m/>
    <n v="1"/>
    <s v="2"/>
    <s v="1"/>
    <n v="1"/>
    <n v="1.0416666666666667"/>
    <n v="1"/>
    <n v="1.0416666666666667"/>
    <n v="0"/>
    <n v="0"/>
    <n v="94"/>
    <n v="97.91666666666667"/>
    <n v="96"/>
  </r>
  <r>
    <s v="UCLswkNtcRTygrVqG-VufI9A"/>
    <s v="UCz4TH5L5v9eAbJ1gpw-vLeg"/>
    <m/>
    <m/>
    <m/>
    <m/>
    <m/>
    <m/>
    <m/>
    <m/>
    <s v="No"/>
    <n v="74"/>
    <m/>
    <m/>
    <s v="Replied Comment"/>
    <s v="Reply"/>
    <s v="Idiots who&amp;#39;ve been hiding in the sticks: ENABLED"/>
    <s v="UCLswkNtcRTygrVqG-VufI9A"/>
    <s v="micky"/>
    <s v="http://www.youtube.com/channel/UCLswkNtcRTygrVqG-VufI9A"/>
    <s v="Ugz5WT3CRwxrncMSDhV4AaABAg"/>
    <s v="L3Ob_r4yk60"/>
    <s v="https://www.youtube.com/watch?v=L3Ob_r4yk60"/>
    <s v="none"/>
    <n v="3"/>
    <x v="71"/>
    <d v="2020-03-22T11:44:00.000"/>
    <m/>
    <m/>
    <m/>
    <n v="1"/>
    <s v="8"/>
    <s v="4"/>
    <n v="0"/>
    <n v="0"/>
    <n v="1"/>
    <n v="10"/>
    <n v="0"/>
    <n v="0"/>
    <n v="9"/>
    <n v="90"/>
    <n v="10"/>
  </r>
  <r>
    <s v="UCSNwk1mZCxz0WkWk4C1AOog"/>
    <s v="UCz4TH5L5v9eAbJ1gpw-vLeg"/>
    <m/>
    <m/>
    <m/>
    <m/>
    <m/>
    <m/>
    <m/>
    <m/>
    <s v="No"/>
    <n v="75"/>
    <m/>
    <m/>
    <s v="Replied Comment"/>
    <s v="Reply"/>
    <s v="Good chance that stuff is for a billionaire and they got paid not to say it.  Caretakers are low lifes.."/>
    <s v="UCSNwk1mZCxz0WkWk4C1AOog"/>
    <s v="Terry Tater"/>
    <s v="http://www.youtube.com/channel/UCSNwk1mZCxz0WkWk4C1AOog"/>
    <s v="Ugz5WT3CRwxrncMSDhV4AaABAg"/>
    <s v="L3Ob_r4yk60"/>
    <s v="https://www.youtube.com/watch?v=L3Ob_r4yk60"/>
    <s v="none"/>
    <n v="1"/>
    <x v="72"/>
    <d v="2020-03-22T13:46:29.000"/>
    <m/>
    <m/>
    <m/>
    <n v="1"/>
    <s v="4"/>
    <s v="4"/>
    <n v="1"/>
    <n v="5"/>
    <n v="0"/>
    <n v="0"/>
    <n v="0"/>
    <n v="0"/>
    <n v="19"/>
    <n v="95"/>
    <n v="20"/>
  </r>
  <r>
    <s v="UCz4TH5L5v9eAbJ1gpw-vLeg"/>
    <s v="UCjRXO-HSl5XpuF-cWvtMV_g"/>
    <m/>
    <m/>
    <m/>
    <m/>
    <m/>
    <m/>
    <m/>
    <m/>
    <s v="No"/>
    <n v="76"/>
    <m/>
    <m/>
    <s v="Commented Video"/>
    <s v="Comment"/>
    <s v="I’ve thought this, too.  The billionaires grabbing so much wealth and hoarding it is a perfect analogy to this “lady” hoarding toilet paper, paper towels, napkins.  As long as they get theirs, to hell with the rest of us."/>
    <s v="UCz4TH5L5v9eAbJ1gpw-vLeg"/>
    <s v="asbeautifulasasunset"/>
    <s v="http://www.youtube.com/channel/UCz4TH5L5v9eAbJ1gpw-vLeg"/>
    <m/>
    <s v="L3Ob_r4yk60"/>
    <s v="https://www.youtube.com/watch?v=L3Ob_r4yk60"/>
    <s v="none"/>
    <n v="82"/>
    <x v="73"/>
    <d v="2020-03-22T11:14:19.000"/>
    <m/>
    <m/>
    <m/>
    <n v="1"/>
    <s v="4"/>
    <s v="1"/>
    <n v="1"/>
    <n v="2.5"/>
    <n v="1"/>
    <n v="2.5"/>
    <n v="0"/>
    <n v="0"/>
    <n v="38"/>
    <n v="95"/>
    <n v="40"/>
  </r>
  <r>
    <s v="UC5BuVr5uirGZhG0qsletd5A"/>
    <s v="UCoRLkOzhw8HekouG2PWC2zg"/>
    <m/>
    <m/>
    <m/>
    <m/>
    <m/>
    <m/>
    <m/>
    <m/>
    <s v="No"/>
    <n v="77"/>
    <m/>
    <m/>
    <s v="Replied Comment"/>
    <s v="Reply"/>
    <s v="Probably a republican area who isnt taking the covid 19 seriously."/>
    <s v="UC5BuVr5uirGZhG0qsletd5A"/>
    <s v="TheBlazersfan22"/>
    <s v="http://www.youtube.com/channel/UC5BuVr5uirGZhG0qsletd5A"/>
    <s v="Ugw5gQXdZ-8X2kWv4Ex4AaABAg"/>
    <s v="L3Ob_r4yk60"/>
    <s v="https://www.youtube.com/watch?v="/>
    <s v="none"/>
    <n v="15"/>
    <x v="74"/>
    <d v="2020-03-22T11:43:01.000"/>
    <m/>
    <m/>
    <m/>
    <n v="1"/>
    <s v="6"/>
    <s v="6"/>
    <n v="0"/>
    <n v="0"/>
    <n v="0"/>
    <n v="0"/>
    <n v="0"/>
    <n v="0"/>
    <n v="11"/>
    <n v="100"/>
    <n v="11"/>
  </r>
  <r>
    <s v="UCIPm0BcT0umjrI9mw0bsHYA"/>
    <s v="UCoRLkOzhw8HekouG2PWC2zg"/>
    <m/>
    <m/>
    <m/>
    <m/>
    <m/>
    <m/>
    <m/>
    <m/>
    <s v="No"/>
    <n v="78"/>
    <m/>
    <m/>
    <s v="Replied Comment"/>
    <s v="Reply"/>
    <s v="Exactly 👍"/>
    <s v="UCIPm0BcT0umjrI9mw0bsHYA"/>
    <s v="jaylovespti"/>
    <s v="http://www.youtube.com/channel/UCIPm0BcT0umjrI9mw0bsHYA"/>
    <s v="Ugw5gQXdZ-8X2kWv4Ex4AaABAg"/>
    <s v="L3Ob_r4yk60"/>
    <s v="https://www.youtube.com/watch?v="/>
    <s v="none"/>
    <n v="8"/>
    <x v="75"/>
    <d v="2020-03-22T13:23:36.000"/>
    <m/>
    <m/>
    <m/>
    <n v="1"/>
    <s v="6"/>
    <s v="6"/>
    <n v="0"/>
    <n v="0"/>
    <n v="0"/>
    <n v="0"/>
    <n v="0"/>
    <n v="0"/>
    <n v="1"/>
    <n v="100"/>
    <n v="1"/>
  </r>
  <r>
    <s v="UCBvG32FaaoWFoQ30DvSyrHw"/>
    <s v="UCoRLkOzhw8HekouG2PWC2zg"/>
    <m/>
    <m/>
    <m/>
    <m/>
    <m/>
    <m/>
    <m/>
    <m/>
    <s v="No"/>
    <n v="79"/>
    <m/>
    <m/>
    <s v="Replied Comment"/>
    <s v="Reply"/>
    <s v="The store was only thinking about money....just like the greedy toilet paper customer"/>
    <s v="UCBvG32FaaoWFoQ30DvSyrHw"/>
    <s v="HORSE - D"/>
    <s v="http://www.youtube.com/channel/UCBvG32FaaoWFoQ30DvSyrHw"/>
    <s v="Ugw5gQXdZ-8X2kWv4Ex4AaABAg"/>
    <s v="L3Ob_r4yk60"/>
    <s v="https://www.youtube.com/watch?v="/>
    <s v="none"/>
    <n v="2"/>
    <x v="76"/>
    <d v="2020-03-22T18:32:38.000"/>
    <m/>
    <m/>
    <m/>
    <n v="1"/>
    <s v="6"/>
    <s v="6"/>
    <n v="1"/>
    <n v="7.142857142857143"/>
    <n v="1"/>
    <n v="7.142857142857143"/>
    <n v="0"/>
    <n v="0"/>
    <n v="12"/>
    <n v="85.71428571428571"/>
    <n v="14"/>
  </r>
  <r>
    <s v="UC0Cy8LOSzB_Cfr3uwBSLGNA"/>
    <s v="UCoRLkOzhw8HekouG2PWC2zg"/>
    <m/>
    <m/>
    <m/>
    <m/>
    <m/>
    <m/>
    <m/>
    <m/>
    <s v="No"/>
    <n v="80"/>
    <m/>
    <m/>
    <s v="Replied Comment"/>
    <s v="Reply"/>
    <s v="@N S Anyone who thinks differently either hasn&amp;#39;t been paying attention or they think nothing&amp;#39;s wrong with this kind of behavior."/>
    <s v="UC0Cy8LOSzB_Cfr3uwBSLGNA"/>
    <s v="Atheos B. Sapien"/>
    <s v="http://www.youtube.com/channel/UC0Cy8LOSzB_Cfr3uwBSLGNA"/>
    <s v="Ugw5gQXdZ-8X2kWv4Ex4AaABAg"/>
    <s v="L3Ob_r4yk60"/>
    <s v="https://www.youtube.com/watch?v="/>
    <s v="none"/>
    <n v="2"/>
    <x v="77"/>
    <d v="2020-03-22T14:45:13.000"/>
    <m/>
    <m/>
    <m/>
    <n v="3"/>
    <s v="6"/>
    <s v="6"/>
    <n v="0"/>
    <n v="0"/>
    <n v="1"/>
    <n v="4"/>
    <n v="0"/>
    <n v="0"/>
    <n v="24"/>
    <n v="96"/>
    <n v="25"/>
  </r>
  <r>
    <s v="UC0Cy8LOSzB_Cfr3uwBSLGNA"/>
    <s v="UCoRLkOzhw8HekouG2PWC2zg"/>
    <m/>
    <m/>
    <m/>
    <m/>
    <m/>
    <m/>
    <m/>
    <m/>
    <s v="No"/>
    <n v="81"/>
    <m/>
    <m/>
    <s v="Replied Comment"/>
    <s v="Reply"/>
    <s v="@N S Maybe if you finished a thought it&amp;#39;d be easier for others to know exactly wtf you meant when you, said, &amp;quot;This is America,&amp;quot; or &amp;quot;I didn&amp;#39;t say nothing is wrong with it?&amp;quot;"/>
    <s v="UC0Cy8LOSzB_Cfr3uwBSLGNA"/>
    <s v="Atheos B. Sapien"/>
    <s v="http://www.youtube.com/channel/UC0Cy8LOSzB_Cfr3uwBSLGNA"/>
    <s v="Ugw5gQXdZ-8X2kWv4Ex4AaABAg"/>
    <s v="L3Ob_r4yk60"/>
    <s v="https://www.youtube.com/watch?v="/>
    <s v="none"/>
    <n v="0"/>
    <x v="78"/>
    <d v="2020-03-22T17:29:56.000"/>
    <m/>
    <m/>
    <m/>
    <n v="3"/>
    <s v="6"/>
    <s v="6"/>
    <n v="1"/>
    <n v="2.380952380952381"/>
    <n v="1"/>
    <n v="2.380952380952381"/>
    <n v="0"/>
    <n v="0"/>
    <n v="40"/>
    <n v="95.23809523809524"/>
    <n v="42"/>
  </r>
  <r>
    <s v="UC0Cy8LOSzB_Cfr3uwBSLGNA"/>
    <s v="UCoRLkOzhw8HekouG2PWC2zg"/>
    <m/>
    <m/>
    <m/>
    <m/>
    <m/>
    <m/>
    <m/>
    <m/>
    <s v="No"/>
    <n v="82"/>
    <m/>
    <m/>
    <s v="Replied Comment"/>
    <s v="Reply"/>
    <s v="@N S This is America, a democratic republic with a free market (anti democratic) economic system. Simple fucks don&amp;#39;t know Jack shit, and that fact never stops them from running their mouth. Piss on you🖕."/>
    <s v="UC0Cy8LOSzB_Cfr3uwBSLGNA"/>
    <s v="Atheos B. Sapien"/>
    <s v="http://www.youtube.com/channel/UC0Cy8LOSzB_Cfr3uwBSLGNA"/>
    <s v="Ugw5gQXdZ-8X2kWv4Ex4AaABAg"/>
    <s v="L3Ob_r4yk60"/>
    <s v="https://www.youtube.com/watch?v="/>
    <s v="none"/>
    <n v="0"/>
    <x v="79"/>
    <d v="2020-03-22T20:01:39.000"/>
    <m/>
    <m/>
    <m/>
    <n v="3"/>
    <s v="6"/>
    <s v="6"/>
    <n v="1"/>
    <n v="2.7027027027027026"/>
    <n v="1"/>
    <n v="2.7027027027027026"/>
    <n v="0"/>
    <n v="0"/>
    <n v="35"/>
    <n v="94.5945945945946"/>
    <n v="37"/>
  </r>
  <r>
    <s v="UCSNwk1mZCxz0WkWk4C1AOog"/>
    <s v="UCoRLkOzhw8HekouG2PWC2zg"/>
    <m/>
    <m/>
    <m/>
    <m/>
    <m/>
    <m/>
    <m/>
    <m/>
    <s v="No"/>
    <n v="83"/>
    <m/>
    <m/>
    <s v="Replied Comment"/>
    <s v="Reply"/>
    <s v="Correct.  Whoever owns that store could&amp;#39;ve stopped that."/>
    <s v="UCSNwk1mZCxz0WkWk4C1AOog"/>
    <s v="Terry Tater"/>
    <s v="http://www.youtube.com/channel/UCSNwk1mZCxz0WkWk4C1AOog"/>
    <s v="Ugw5gQXdZ-8X2kWv4Ex4AaABAg"/>
    <s v="L3Ob_r4yk60"/>
    <s v="https://www.youtube.com/watch?v="/>
    <s v="none"/>
    <n v="9"/>
    <x v="80"/>
    <d v="2020-03-22T13:19:34.000"/>
    <m/>
    <m/>
    <m/>
    <n v="1"/>
    <s v="4"/>
    <s v="6"/>
    <n v="1"/>
    <n v="10"/>
    <n v="0"/>
    <n v="0"/>
    <n v="0"/>
    <n v="0"/>
    <n v="9"/>
    <n v="90"/>
    <n v="10"/>
  </r>
  <r>
    <s v="UCuFOndAULZ3uyRBasI9ahpg"/>
    <s v="UCoRLkOzhw8HekouG2PWC2zg"/>
    <m/>
    <m/>
    <m/>
    <m/>
    <m/>
    <m/>
    <m/>
    <m/>
    <s v="No"/>
    <n v="84"/>
    <m/>
    <m/>
    <s v="Replied Comment"/>
    <s v="Reply"/>
    <s v="This is America."/>
    <s v="UCuFOndAULZ3uyRBasI9ahpg"/>
    <s v="N S"/>
    <s v="http://www.youtube.com/channel/UCuFOndAULZ3uyRBasI9ahpg"/>
    <s v="Ugw5gQXdZ-8X2kWv4Ex4AaABAg"/>
    <s v="L3Ob_r4yk60"/>
    <s v="https://www.youtube.com/watch?v="/>
    <s v="none"/>
    <n v="4"/>
    <x v="81"/>
    <d v="2020-03-22T14:05:32.000"/>
    <m/>
    <m/>
    <m/>
    <n v="5"/>
    <s v="6"/>
    <s v="6"/>
    <n v="0"/>
    <n v="0"/>
    <n v="0"/>
    <n v="0"/>
    <n v="0"/>
    <n v="0"/>
    <n v="3"/>
    <n v="100"/>
    <n v="3"/>
  </r>
  <r>
    <s v="UCoRLkOzhw8HekouG2PWC2zg"/>
    <s v="UCoRLkOzhw8HekouG2PWC2zg"/>
    <m/>
    <m/>
    <m/>
    <m/>
    <m/>
    <m/>
    <m/>
    <m/>
    <s v="No"/>
    <n v="85"/>
    <m/>
    <m/>
    <s v="Replied Comment"/>
    <s v="Reply"/>
    <s v="@N S what a pathetic statement , don&amp;#39;t you get if we don&amp;#39;t help each other we will go down together.I,m going to remember Dollar tree when this is over"/>
    <s v="UCoRLkOzhw8HekouG2PWC2zg"/>
    <s v="jonnyboy8000"/>
    <s v="http://www.youtube.com/channel/UCoRLkOzhw8HekouG2PWC2zg"/>
    <s v="Ugw5gQXdZ-8X2kWv4Ex4AaABAg"/>
    <s v="L3Ob_r4yk60"/>
    <s v="https://www.youtube.com/watch?v="/>
    <s v="none"/>
    <n v="2"/>
    <x v="82"/>
    <d v="2020-03-22T15:13:45.000"/>
    <m/>
    <m/>
    <m/>
    <n v="2"/>
    <s v="6"/>
    <s v="6"/>
    <n v="0"/>
    <n v="0"/>
    <n v="1"/>
    <n v="2.857142857142857"/>
    <n v="0"/>
    <n v="0"/>
    <n v="34"/>
    <n v="97.14285714285714"/>
    <n v="35"/>
  </r>
  <r>
    <s v="UCuFOndAULZ3uyRBasI9ahpg"/>
    <s v="UCoRLkOzhw8HekouG2PWC2zg"/>
    <m/>
    <m/>
    <m/>
    <m/>
    <m/>
    <m/>
    <m/>
    <m/>
    <s v="No"/>
    <n v="86"/>
    <m/>
    <m/>
    <s v="Replied Comment"/>
    <s v="Reply"/>
    <s v="@jonnyboy8000 Stating a fact is pathetic?😄😄&lt;br /&gt;Clearly you aren&amp;#39;t too bright...."/>
    <s v="UCuFOndAULZ3uyRBasI9ahpg"/>
    <s v="N S"/>
    <s v="http://www.youtube.com/channel/UCuFOndAULZ3uyRBasI9ahpg"/>
    <s v="Ugw5gQXdZ-8X2kWv4Ex4AaABAg"/>
    <s v="L3Ob_r4yk60"/>
    <s v="https://www.youtube.com/watch?v="/>
    <s v="none"/>
    <n v="2"/>
    <x v="83"/>
    <d v="2020-03-22T17:16:30.000"/>
    <m/>
    <m/>
    <m/>
    <n v="5"/>
    <s v="6"/>
    <s v="6"/>
    <n v="2"/>
    <n v="14.285714285714286"/>
    <n v="1"/>
    <n v="7.142857142857143"/>
    <n v="0"/>
    <n v="0"/>
    <n v="11"/>
    <n v="78.57142857142857"/>
    <n v="14"/>
  </r>
  <r>
    <s v="UCuFOndAULZ3uyRBasI9ahpg"/>
    <s v="UCoRLkOzhw8HekouG2PWC2zg"/>
    <m/>
    <m/>
    <m/>
    <m/>
    <m/>
    <m/>
    <m/>
    <m/>
    <s v="No"/>
    <n v="87"/>
    <m/>
    <m/>
    <s v="Replied Comment"/>
    <s v="Reply"/>
    <s v="@Atheos B. Sapien &lt;br /&gt;I didn&amp;#39;t say nothing is wrong with it."/>
    <s v="UCuFOndAULZ3uyRBasI9ahpg"/>
    <s v="N S"/>
    <s v="http://www.youtube.com/channel/UCuFOndAULZ3uyRBasI9ahpg"/>
    <s v="Ugw5gQXdZ-8X2kWv4Ex4AaABAg"/>
    <s v="L3Ob_r4yk60"/>
    <s v="https://www.youtube.com/watch?v="/>
    <s v="none"/>
    <n v="0"/>
    <x v="84"/>
    <d v="2020-03-22T17:17:43.000"/>
    <m/>
    <m/>
    <m/>
    <n v="5"/>
    <s v="6"/>
    <s v="6"/>
    <n v="0"/>
    <n v="0"/>
    <n v="1"/>
    <n v="7.142857142857143"/>
    <n v="0"/>
    <n v="0"/>
    <n v="13"/>
    <n v="92.85714285714286"/>
    <n v="14"/>
  </r>
  <r>
    <s v="UCoRLkOzhw8HekouG2PWC2zg"/>
    <s v="UCoRLkOzhw8HekouG2PWC2zg"/>
    <m/>
    <m/>
    <m/>
    <m/>
    <m/>
    <m/>
    <m/>
    <m/>
    <s v="No"/>
    <n v="88"/>
    <m/>
    <m/>
    <s v="Replied Comment"/>
    <s v="Reply"/>
    <s v="@N S Hope you don&amp;#39;t need toilet paper"/>
    <s v="UCoRLkOzhw8HekouG2PWC2zg"/>
    <s v="jonnyboy8000"/>
    <s v="http://www.youtube.com/channel/UCoRLkOzhw8HekouG2PWC2zg"/>
    <s v="Ugw5gQXdZ-8X2kWv4Ex4AaABAg"/>
    <s v="L3Ob_r4yk60"/>
    <s v="https://www.youtube.com/watch?v="/>
    <s v="none"/>
    <n v="0"/>
    <x v="85"/>
    <d v="2020-03-22T17:29:09.000"/>
    <m/>
    <m/>
    <m/>
    <n v="2"/>
    <s v="6"/>
    <s v="6"/>
    <n v="0"/>
    <n v="0"/>
    <n v="0"/>
    <n v="0"/>
    <n v="0"/>
    <n v="0"/>
    <n v="10"/>
    <n v="100"/>
    <n v="10"/>
  </r>
  <r>
    <s v="UCuFOndAULZ3uyRBasI9ahpg"/>
    <s v="UCoRLkOzhw8HekouG2PWC2zg"/>
    <m/>
    <m/>
    <m/>
    <m/>
    <m/>
    <m/>
    <m/>
    <m/>
    <s v="No"/>
    <n v="89"/>
    <m/>
    <m/>
    <s v="Replied Comment"/>
    <s v="Reply"/>
    <s v="@Atheos B. Sapien This is America is all you need to know. It&amp;#39;s a free market economy. That principle can easily be applied in this context. That&amp;#39;s the reality of the times. It&amp;#39;s not rocket science. Good job jumping to negative and irrelevant conclusions. Peace be with you!✌"/>
    <s v="UCuFOndAULZ3uyRBasI9ahpg"/>
    <s v="N S"/>
    <s v="http://www.youtube.com/channel/UCuFOndAULZ3uyRBasI9ahpg"/>
    <s v="Ugw5gQXdZ-8X2kWv4Ex4AaABAg"/>
    <s v="L3Ob_r4yk60"/>
    <s v="https://www.youtube.com/watch?v="/>
    <s v="none"/>
    <n v="0"/>
    <x v="86"/>
    <d v="2020-03-22T19:54:35.000"/>
    <m/>
    <m/>
    <m/>
    <n v="5"/>
    <s v="6"/>
    <s v="6"/>
    <n v="3"/>
    <n v="5.555555555555555"/>
    <n v="2"/>
    <n v="3.7037037037037037"/>
    <n v="0"/>
    <n v="0"/>
    <n v="49"/>
    <n v="90.74074074074075"/>
    <n v="54"/>
  </r>
  <r>
    <s v="UCuFOndAULZ3uyRBasI9ahpg"/>
    <s v="UCoRLkOzhw8HekouG2PWC2zg"/>
    <m/>
    <m/>
    <m/>
    <m/>
    <m/>
    <m/>
    <m/>
    <m/>
    <s v="No"/>
    <n v="90"/>
    <m/>
    <m/>
    <s v="Replied Comment"/>
    <s v="Reply"/>
    <s v="@jonnyboy8000 &lt;br /&gt;I don&amp;#39;t.&lt;br /&gt;I still don&amp;#39;t see how that is relevant to anything I&amp;#39;ve said though..... but suit yourself. Peace be with you too!✌"/>
    <s v="UCuFOndAULZ3uyRBasI9ahpg"/>
    <s v="N S"/>
    <s v="http://www.youtube.com/channel/UCuFOndAULZ3uyRBasI9ahpg"/>
    <s v="Ugw5gQXdZ-8X2kWv4Ex4AaABAg"/>
    <s v="L3Ob_r4yk60"/>
    <s v="https://www.youtube.com/watch?v="/>
    <s v="none"/>
    <n v="0"/>
    <x v="87"/>
    <d v="2020-03-22T19:56:05.000"/>
    <m/>
    <m/>
    <m/>
    <n v="5"/>
    <s v="6"/>
    <s v="6"/>
    <n v="1"/>
    <n v="3.125"/>
    <n v="0"/>
    <n v="0"/>
    <n v="0"/>
    <n v="0"/>
    <n v="31"/>
    <n v="96.875"/>
    <n v="32"/>
  </r>
  <r>
    <s v="UCoRLkOzhw8HekouG2PWC2zg"/>
    <s v="UCjRXO-HSl5XpuF-cWvtMV_g"/>
    <m/>
    <m/>
    <m/>
    <m/>
    <m/>
    <m/>
    <m/>
    <m/>
    <s v="No"/>
    <n v="91"/>
    <m/>
    <m/>
    <s v="Commented Video"/>
    <s v="Comment"/>
    <s v="What was Dollar treee  doing selling all that to one person ,shame on them"/>
    <s v="UCoRLkOzhw8HekouG2PWC2zg"/>
    <s v="jonnyboy8000"/>
    <s v="http://www.youtube.com/channel/UCoRLkOzhw8HekouG2PWC2zg"/>
    <m/>
    <s v="L3Ob_r4yk60"/>
    <s v="https://www.youtube.com/watch?v=L3Ob_r4yk60"/>
    <s v="none"/>
    <n v="146"/>
    <x v="88"/>
    <d v="2020-03-22T11:15:15.000"/>
    <m/>
    <m/>
    <m/>
    <n v="1"/>
    <s v="6"/>
    <s v="1"/>
    <n v="0"/>
    <n v="0"/>
    <n v="1"/>
    <n v="7.142857142857143"/>
    <n v="0"/>
    <n v="0"/>
    <n v="13"/>
    <n v="92.85714285714286"/>
    <n v="14"/>
  </r>
  <r>
    <s v="UCmJgjUswcF2Q7mo3cJ364Sg"/>
    <s v="UCPeJ687jzKmPpzaXaAUMhPQ"/>
    <m/>
    <m/>
    <m/>
    <m/>
    <m/>
    <m/>
    <m/>
    <m/>
    <s v="No"/>
    <n v="92"/>
    <m/>
    <m/>
    <s v="Replied Comment"/>
    <s v="Reply"/>
    <s v="That&amp;#39;s every America."/>
    <s v="UCmJgjUswcF2Q7mo3cJ364Sg"/>
    <s v="x3nine"/>
    <s v="http://www.youtube.com/channel/UCmJgjUswcF2Q7mo3cJ364Sg"/>
    <s v="Ugy-mFlZA7FrTNDa_D14AaABAg"/>
    <s v="L3Ob_r4yk60"/>
    <s v="https://www.youtube.com/watch?v=L3Ob_r4yk60"/>
    <s v="none"/>
    <n v="6"/>
    <x v="89"/>
    <d v="2020-03-22T11:43:42.000"/>
    <m/>
    <m/>
    <m/>
    <n v="1"/>
    <s v="2"/>
    <s v="2"/>
    <n v="0"/>
    <n v="0"/>
    <n v="0"/>
    <n v="0"/>
    <n v="0"/>
    <n v="0"/>
    <n v="5"/>
    <n v="100"/>
    <n v="5"/>
  </r>
  <r>
    <s v="UCbTEPPnor25BJIqAb_ZmhAA"/>
    <s v="UCPeJ687jzKmPpzaXaAUMhPQ"/>
    <m/>
    <m/>
    <m/>
    <m/>
    <m/>
    <m/>
    <m/>
    <m/>
    <s v="No"/>
    <n v="93"/>
    <m/>
    <m/>
    <s v="Replied Comment"/>
    <s v="Reply"/>
    <s v="It isn&amp;#39;t Trump&amp;#39;s America."/>
    <s v="UCbTEPPnor25BJIqAb_ZmhAA"/>
    <s v="Keith Warner"/>
    <s v="http://www.youtube.com/channel/UCbTEPPnor25BJIqAb_ZmhAA"/>
    <s v="Ugy-mFlZA7FrTNDa_D14AaABAg"/>
    <s v="L3Ob_r4yk60"/>
    <s v="https://www.youtube.com/watch?v=L3Ob_r4yk60"/>
    <s v="none"/>
    <n v="0"/>
    <x v="90"/>
    <d v="2020-03-22T13:52:36.000"/>
    <m/>
    <m/>
    <m/>
    <n v="1"/>
    <s v="9"/>
    <s v="2"/>
    <n v="0"/>
    <n v="0"/>
    <n v="0"/>
    <n v="0"/>
    <n v="0"/>
    <n v="0"/>
    <n v="8"/>
    <n v="100"/>
    <n v="8"/>
  </r>
  <r>
    <s v="UCxLES-3tK4vhQ8cLIIm7sYA"/>
    <s v="UCPeJ687jzKmPpzaXaAUMhPQ"/>
    <m/>
    <m/>
    <m/>
    <m/>
    <m/>
    <m/>
    <m/>
    <m/>
    <s v="No"/>
    <n v="94"/>
    <m/>
    <m/>
    <s v="Replied Comment"/>
    <s v="Reply"/>
    <s v="It was morally bankrupt way before Trump, or is a history of slavery, genocide and constant warmongering not immoral? Name the President and google will supply the list of crimes, oh wait.. I forgot with you tossers it only counts if its done to Americans!..."/>
    <s v="UCxLES-3tK4vhQ8cLIIm7sYA"/>
    <s v="Kato Lee"/>
    <s v="http://www.youtube.com/channel/UCxLES-3tK4vhQ8cLIIm7sYA"/>
    <s v="Ugy-mFlZA7FrTNDa_D14AaABAg"/>
    <s v="L3Ob_r4yk60"/>
    <s v="https://www.youtube.com/watch?v=L3Ob_r4yk60"/>
    <s v="none"/>
    <n v="2"/>
    <x v="91"/>
    <d v="2020-03-22T14:14:53.000"/>
    <m/>
    <m/>
    <m/>
    <n v="1"/>
    <s v="2"/>
    <s v="2"/>
    <n v="0"/>
    <n v="0"/>
    <n v="3"/>
    <n v="6.666666666666667"/>
    <n v="0"/>
    <n v="0"/>
    <n v="42"/>
    <n v="93.33333333333333"/>
    <n v="45"/>
  </r>
  <r>
    <s v="UCBwIvSHzNL5sWjN0hcFGb2g"/>
    <s v="UCPeJ687jzKmPpzaXaAUMhPQ"/>
    <m/>
    <m/>
    <m/>
    <m/>
    <m/>
    <m/>
    <m/>
    <m/>
    <s v="No"/>
    <n v="95"/>
    <m/>
    <m/>
    <s v="Replied Comment"/>
    <s v="Reply"/>
    <s v="Jose: And the America of the Democratic National Criminal Committee."/>
    <s v="UCBwIvSHzNL5sWjN0hcFGb2g"/>
    <s v="Malcolm Marzo"/>
    <s v="http://www.youtube.com/channel/UCBwIvSHzNL5sWjN0hcFGb2g"/>
    <s v="Ugy-mFlZA7FrTNDa_D14AaABAg"/>
    <s v="L3Ob_r4yk60"/>
    <s v="https://www.youtube.com/watch?v=L3Ob_r4yk60"/>
    <s v="none"/>
    <n v="0"/>
    <x v="92"/>
    <d v="2020-03-22T16:32:57.000"/>
    <m/>
    <m/>
    <m/>
    <n v="1"/>
    <s v="2"/>
    <s v="2"/>
    <n v="0"/>
    <n v="0"/>
    <n v="1"/>
    <n v="10"/>
    <n v="0"/>
    <n v="0"/>
    <n v="9"/>
    <n v="90"/>
    <n v="10"/>
  </r>
  <r>
    <s v="UCPeJ687jzKmPpzaXaAUMhPQ"/>
    <s v="UCjRXO-HSl5XpuF-cWvtMV_g"/>
    <m/>
    <m/>
    <m/>
    <m/>
    <m/>
    <m/>
    <m/>
    <m/>
    <s v="No"/>
    <n v="96"/>
    <m/>
    <m/>
    <s v="Commented Video"/>
    <s v="Comment"/>
    <s v="Welcome to Trump&amp;#39;s America: Morally Bankrupt"/>
    <s v="UCPeJ687jzKmPpzaXaAUMhPQ"/>
    <s v="Jose Acevedo"/>
    <s v="http://www.youtube.com/channel/UCPeJ687jzKmPpzaXaAUMhPQ"/>
    <m/>
    <s v="L3Ob_r4yk60"/>
    <s v="https://www.youtube.com/watch?v=L3Ob_r4yk60"/>
    <s v="none"/>
    <n v="18"/>
    <x v="93"/>
    <d v="2020-03-22T11:25:59.000"/>
    <m/>
    <m/>
    <m/>
    <n v="1"/>
    <s v="2"/>
    <s v="1"/>
    <n v="1"/>
    <n v="12.5"/>
    <n v="1"/>
    <n v="12.5"/>
    <n v="0"/>
    <n v="0"/>
    <n v="6"/>
    <n v="75"/>
    <n v="8"/>
  </r>
  <r>
    <s v="UClwdEiKlRcZPJs5YYFDRygw"/>
    <s v="UC7nM_6yyE5e46kBfFap5QpA"/>
    <m/>
    <m/>
    <m/>
    <m/>
    <m/>
    <m/>
    <m/>
    <m/>
    <s v="No"/>
    <n v="97"/>
    <m/>
    <m/>
    <s v="Replied Comment"/>
    <s v="Reply"/>
    <s v="@J Mal Karma exists if you demand it and pray for it!"/>
    <s v="UClwdEiKlRcZPJs5YYFDRygw"/>
    <s v="Claus Bohm"/>
    <s v="http://www.youtube.com/channel/UClwdEiKlRcZPJs5YYFDRygw"/>
    <s v="UgzvTwMhzeLv-VjJGdF4AaABAg"/>
    <s v="L3Ob_r4yk60"/>
    <s v="https://www.youtube.com/watch?v="/>
    <s v="none"/>
    <n v="3"/>
    <x v="94"/>
    <d v="2020-03-22T15:21:23.000"/>
    <m/>
    <m/>
    <m/>
    <n v="4"/>
    <s v="4"/>
    <s v="4"/>
    <n v="0"/>
    <n v="0"/>
    <n v="0"/>
    <n v="0"/>
    <n v="0"/>
    <n v="0"/>
    <n v="12"/>
    <n v="100"/>
    <n v="12"/>
  </r>
  <r>
    <s v="UClwdEiKlRcZPJs5YYFDRygw"/>
    <s v="UC7nM_6yyE5e46kBfFap5QpA"/>
    <m/>
    <m/>
    <m/>
    <m/>
    <m/>
    <m/>
    <m/>
    <m/>
    <s v="No"/>
    <n v="98"/>
    <m/>
    <m/>
    <s v="Replied Comment"/>
    <s v="Reply"/>
    <s v="@J Mal I have gotten myself out of some pretty dangerous positions due to prayer. I saw it work first hand in my life many times. Actually my karmic prayer is more like &amp;quot;vengeance is mine sayth the lord&amp;quot; so I let him take care of it and it works."/>
    <s v="UClwdEiKlRcZPJs5YYFDRygw"/>
    <s v="Claus Bohm"/>
    <s v="http://www.youtube.com/channel/UClwdEiKlRcZPJs5YYFDRygw"/>
    <s v="UgzvTwMhzeLv-VjJGdF4AaABAg"/>
    <s v="L3Ob_r4yk60"/>
    <s v="https://www.youtube.com/watch?v="/>
    <s v="none"/>
    <n v="1"/>
    <x v="95"/>
    <d v="2020-03-22T16:07:54.000"/>
    <m/>
    <m/>
    <m/>
    <n v="4"/>
    <s v="4"/>
    <s v="4"/>
    <n v="4"/>
    <n v="7.6923076923076925"/>
    <n v="2"/>
    <n v="3.8461538461538463"/>
    <n v="0"/>
    <n v="0"/>
    <n v="46"/>
    <n v="88.46153846153847"/>
    <n v="52"/>
  </r>
  <r>
    <s v="UClwdEiKlRcZPJs5YYFDRygw"/>
    <s v="UC7nM_6yyE5e46kBfFap5QpA"/>
    <m/>
    <m/>
    <m/>
    <m/>
    <m/>
    <m/>
    <m/>
    <m/>
    <s v="No"/>
    <n v="99"/>
    <m/>
    <m/>
    <s v="Replied Comment"/>
    <s v="Reply"/>
    <s v="@J Mal Too much coincidence, mathematically impossible. Sorry but I proved there is true spiritual work at play, no wishful thinking or scientific reasoning."/>
    <s v="UClwdEiKlRcZPJs5YYFDRygw"/>
    <s v="Claus Bohm"/>
    <s v="http://www.youtube.com/channel/UClwdEiKlRcZPJs5YYFDRygw"/>
    <s v="UgzvTwMhzeLv-VjJGdF4AaABAg"/>
    <s v="L3Ob_r4yk60"/>
    <s v="https://www.youtube.com/watch?v="/>
    <s v="none"/>
    <n v="0"/>
    <x v="96"/>
    <d v="2020-03-22T16:35:45.000"/>
    <m/>
    <m/>
    <m/>
    <n v="4"/>
    <s v="4"/>
    <s v="4"/>
    <n v="2"/>
    <n v="8.333333333333334"/>
    <n v="2"/>
    <n v="8.333333333333334"/>
    <n v="0"/>
    <n v="0"/>
    <n v="20"/>
    <n v="83.33333333333333"/>
    <n v="24"/>
  </r>
  <r>
    <s v="UClwdEiKlRcZPJs5YYFDRygw"/>
    <s v="UC7nM_6yyE5e46kBfFap5QpA"/>
    <m/>
    <m/>
    <m/>
    <m/>
    <m/>
    <m/>
    <m/>
    <m/>
    <s v="No"/>
    <n v="100"/>
    <m/>
    <m/>
    <s v="Replied Comment"/>
    <s v="Reply"/>
    <s v="@J Mal You have no idea what I understand but you can start by reading my published book on Amazon!"/>
    <s v="UClwdEiKlRcZPJs5YYFDRygw"/>
    <s v="Claus Bohm"/>
    <s v="http://www.youtube.com/channel/UClwdEiKlRcZPJs5YYFDRygw"/>
    <s v="UgzvTwMhzeLv-VjJGdF4AaABAg"/>
    <s v="L3Ob_r4yk60"/>
    <s v="https://www.youtube.com/watch?v="/>
    <s v="none"/>
    <n v="0"/>
    <x v="97"/>
    <d v="2020-03-22T16:46:56.000"/>
    <m/>
    <m/>
    <m/>
    <n v="4"/>
    <s v="4"/>
    <s v="4"/>
    <n v="0"/>
    <n v="0"/>
    <n v="0"/>
    <n v="0"/>
    <n v="0"/>
    <n v="0"/>
    <n v="20"/>
    <n v="100"/>
    <n v="20"/>
  </r>
  <r>
    <s v="UCPQEfl5Izzd58jGk1clvJrg"/>
    <s v="UC7nM_6yyE5e46kBfFap5QpA"/>
    <m/>
    <m/>
    <m/>
    <m/>
    <m/>
    <m/>
    <m/>
    <m/>
    <s v="No"/>
    <n v="101"/>
    <m/>
    <m/>
    <s v="Replied Comment"/>
    <s v="Reply"/>
    <s v="Karma doesn&amp;#39;t exist and there is no divine justice. Scumbags prevail and good people suffer all the time. If we care about justice we must work hard for it."/>
    <s v="UCPQEfl5Izzd58jGk1clvJrg"/>
    <s v="J Mal"/>
    <s v="http://www.youtube.com/channel/UCPQEfl5Izzd58jGk1clvJrg"/>
    <s v="UgzvTwMhzeLv-VjJGdF4AaABAg"/>
    <s v="L3Ob_r4yk60"/>
    <s v="https://www.youtube.com/watch?v="/>
    <s v="none"/>
    <n v="6"/>
    <x v="98"/>
    <d v="2020-03-22T14:31:06.000"/>
    <m/>
    <m/>
    <m/>
    <n v="6"/>
    <s v="4"/>
    <s v="4"/>
    <n v="3"/>
    <n v="9.67741935483871"/>
    <n v="2"/>
    <n v="6.451612903225806"/>
    <n v="0"/>
    <n v="0"/>
    <n v="26"/>
    <n v="83.87096774193549"/>
    <n v="31"/>
  </r>
  <r>
    <s v="UCPQEfl5Izzd58jGk1clvJrg"/>
    <s v="UC7nM_6yyE5e46kBfFap5QpA"/>
    <m/>
    <m/>
    <m/>
    <m/>
    <m/>
    <m/>
    <m/>
    <m/>
    <s v="No"/>
    <n v="102"/>
    <m/>
    <m/>
    <s v="Replied Comment"/>
    <s v="Reply"/>
    <s v="@Erik Moss I&amp;#39;m willing to."/>
    <s v="UCPQEfl5Izzd58jGk1clvJrg"/>
    <s v="J Mal"/>
    <s v="http://www.youtube.com/channel/UCPQEfl5Izzd58jGk1clvJrg"/>
    <s v="UgzvTwMhzeLv-VjJGdF4AaABAg"/>
    <s v="L3Ob_r4yk60"/>
    <s v="https://www.youtube.com/watch?v="/>
    <s v="none"/>
    <n v="0"/>
    <x v="99"/>
    <d v="2020-03-22T14:49:16.000"/>
    <m/>
    <m/>
    <m/>
    <n v="6"/>
    <s v="4"/>
    <s v="4"/>
    <n v="1"/>
    <n v="14.285714285714286"/>
    <n v="0"/>
    <n v="0"/>
    <n v="0"/>
    <n v="0"/>
    <n v="6"/>
    <n v="85.71428571428571"/>
    <n v="7"/>
  </r>
  <r>
    <s v="UCPQEfl5Izzd58jGk1clvJrg"/>
    <s v="UC7nM_6yyE5e46kBfFap5QpA"/>
    <m/>
    <m/>
    <m/>
    <m/>
    <m/>
    <m/>
    <m/>
    <m/>
    <s v="No"/>
    <n v="103"/>
    <m/>
    <m/>
    <s v="Replied Comment"/>
    <s v="Reply"/>
    <s v="@Claus Bohm I don&amp;#39;t believe in prayer or karma, so praying for karma seems rather silly."/>
    <s v="UCPQEfl5Izzd58jGk1clvJrg"/>
    <s v="J Mal"/>
    <s v="http://www.youtube.com/channel/UCPQEfl5Izzd58jGk1clvJrg"/>
    <s v="UgzvTwMhzeLv-VjJGdF4AaABAg"/>
    <s v="L3Ob_r4yk60"/>
    <s v="https://www.youtube.com/watch?v="/>
    <s v="none"/>
    <n v="2"/>
    <x v="100"/>
    <d v="2020-03-22T15:31:19.000"/>
    <m/>
    <m/>
    <m/>
    <n v="6"/>
    <s v="4"/>
    <s v="4"/>
    <n v="0"/>
    <n v="0"/>
    <n v="1"/>
    <n v="5.555555555555555"/>
    <n v="0"/>
    <n v="0"/>
    <n v="17"/>
    <n v="94.44444444444444"/>
    <n v="18"/>
  </r>
  <r>
    <s v="UCPQEfl5Izzd58jGk1clvJrg"/>
    <s v="UC7nM_6yyE5e46kBfFap5QpA"/>
    <m/>
    <m/>
    <m/>
    <m/>
    <m/>
    <m/>
    <m/>
    <m/>
    <s v="No"/>
    <n v="104"/>
    <m/>
    <m/>
    <s v="Replied Comment"/>
    <s v="Reply"/>
    <s v="@Claus Bohm Perhaps these experiences can be explained by the plecebo effect and confirmation bias."/>
    <s v="UCPQEfl5Izzd58jGk1clvJrg"/>
    <s v="J Mal"/>
    <s v="http://www.youtube.com/channel/UCPQEfl5Izzd58jGk1clvJrg"/>
    <s v="UgzvTwMhzeLv-VjJGdF4AaABAg"/>
    <s v="L3Ob_r4yk60"/>
    <s v="https://www.youtube.com/watch?v="/>
    <s v="none"/>
    <n v="0"/>
    <x v="101"/>
    <d v="2020-03-22T16:19:04.000"/>
    <m/>
    <m/>
    <m/>
    <n v="6"/>
    <s v="4"/>
    <s v="4"/>
    <n v="0"/>
    <n v="0"/>
    <n v="1"/>
    <n v="6.666666666666667"/>
    <n v="0"/>
    <n v="0"/>
    <n v="14"/>
    <n v="93.33333333333333"/>
    <n v="15"/>
  </r>
  <r>
    <s v="UCPQEfl5Izzd58jGk1clvJrg"/>
    <s v="UC7nM_6yyE5e46kBfFap5QpA"/>
    <m/>
    <m/>
    <m/>
    <m/>
    <m/>
    <m/>
    <m/>
    <m/>
    <s v="No"/>
    <n v="105"/>
    <m/>
    <m/>
    <s v="Replied Comment"/>
    <s v="Reply"/>
    <s v="@Claus Bohm You should look into those things, because they way you describe them show that you don&amp;#39;t really understand them."/>
    <s v="UCPQEfl5Izzd58jGk1clvJrg"/>
    <s v="J Mal"/>
    <s v="http://www.youtube.com/channel/UCPQEfl5Izzd58jGk1clvJrg"/>
    <s v="UgzvTwMhzeLv-VjJGdF4AaABAg"/>
    <s v="L3Ob_r4yk60"/>
    <s v="https://www.youtube.com/watch?v="/>
    <s v="none"/>
    <n v="0"/>
    <x v="102"/>
    <d v="2020-03-22T16:40:39.000"/>
    <m/>
    <m/>
    <m/>
    <n v="6"/>
    <s v="4"/>
    <s v="4"/>
    <n v="0"/>
    <n v="0"/>
    <n v="0"/>
    <n v="0"/>
    <n v="0"/>
    <n v="0"/>
    <n v="23"/>
    <n v="100"/>
    <n v="23"/>
  </r>
  <r>
    <s v="UCPQEfl5Izzd58jGk1clvJrg"/>
    <s v="UC7nM_6yyE5e46kBfFap5QpA"/>
    <m/>
    <m/>
    <m/>
    <m/>
    <m/>
    <m/>
    <m/>
    <m/>
    <s v="No"/>
    <n v="106"/>
    <m/>
    <m/>
    <s v="Replied Comment"/>
    <s v="Reply"/>
    <s v="@Claus Bohm No thanks. Take care."/>
    <s v="UCPQEfl5Izzd58jGk1clvJrg"/>
    <s v="J Mal"/>
    <s v="http://www.youtube.com/channel/UCPQEfl5Izzd58jGk1clvJrg"/>
    <s v="UgzvTwMhzeLv-VjJGdF4AaABAg"/>
    <s v="L3Ob_r4yk60"/>
    <s v="https://www.youtube.com/watch?v="/>
    <s v="none"/>
    <n v="0"/>
    <x v="103"/>
    <d v="2020-03-22T16:50:28.000"/>
    <m/>
    <m/>
    <m/>
    <n v="6"/>
    <s v="4"/>
    <s v="4"/>
    <n v="0"/>
    <n v="0"/>
    <n v="0"/>
    <n v="0"/>
    <n v="0"/>
    <n v="0"/>
    <n v="6"/>
    <n v="100"/>
    <n v="6"/>
  </r>
  <r>
    <s v="UCvFvo310EFTNVcGfu0vvTPg"/>
    <s v="UC7nM_6yyE5e46kBfFap5QpA"/>
    <m/>
    <m/>
    <m/>
    <m/>
    <m/>
    <m/>
    <m/>
    <m/>
    <s v="No"/>
    <n v="107"/>
    <m/>
    <m/>
    <s v="Replied Comment"/>
    <s v="Reply"/>
    <s v="Karma was introduced in India as a way to keep the poor compliant.  It was basically telling people to accept their lot because they would get justice in another world.  Don&amp;#39;t wait for karma.  Get angry."/>
    <s v="UCvFvo310EFTNVcGfu0vvTPg"/>
    <s v="joan anthony"/>
    <s v="http://www.youtube.com/channel/UCvFvo310EFTNVcGfu0vvTPg"/>
    <s v="UgzvTwMhzeLv-VjJGdF4AaABAg"/>
    <s v="L3Ob_r4yk60"/>
    <s v="https://www.youtube.com/watch?v="/>
    <s v="none"/>
    <n v="10"/>
    <x v="104"/>
    <d v="2020-03-22T12:51:12.000"/>
    <m/>
    <m/>
    <m/>
    <n v="1"/>
    <s v="3"/>
    <s v="4"/>
    <n v="1"/>
    <n v="2.6315789473684212"/>
    <n v="2"/>
    <n v="5.2631578947368425"/>
    <n v="0"/>
    <n v="0"/>
    <n v="35"/>
    <n v="92.10526315789474"/>
    <n v="38"/>
  </r>
  <r>
    <s v="UCI4gPi01UDuazhDGJEVOwlg"/>
    <s v="UC7nM_6yyE5e46kBfFap5QpA"/>
    <m/>
    <m/>
    <m/>
    <m/>
    <m/>
    <m/>
    <m/>
    <m/>
    <s v="No"/>
    <n v="108"/>
    <m/>
    <m/>
    <s v="Replied Comment"/>
    <s v="Reply"/>
    <s v="Karma is bullshit unless its instant karma."/>
    <s v="UCI4gPi01UDuazhDGJEVOwlg"/>
    <s v="Paul Romano"/>
    <s v="http://www.youtube.com/channel/UCI4gPi01UDuazhDGJEVOwlg"/>
    <s v="UgzvTwMhzeLv-VjJGdF4AaABAg"/>
    <s v="L3Ob_r4yk60"/>
    <s v="https://www.youtube.com/watch?v="/>
    <s v="none"/>
    <n v="4"/>
    <x v="105"/>
    <d v="2020-03-22T14:40:16.000"/>
    <m/>
    <m/>
    <m/>
    <n v="1"/>
    <s v="2"/>
    <s v="4"/>
    <n v="0"/>
    <n v="0"/>
    <n v="1"/>
    <n v="14.285714285714286"/>
    <n v="0"/>
    <n v="0"/>
    <n v="6"/>
    <n v="85.71428571428571"/>
    <n v="7"/>
  </r>
  <r>
    <s v="UCm7F1hYnkmFqIf7Ee5fx4PQ"/>
    <s v="UC7nM_6yyE5e46kBfFap5QpA"/>
    <m/>
    <m/>
    <m/>
    <m/>
    <m/>
    <m/>
    <m/>
    <m/>
    <s v="No"/>
    <n v="109"/>
    <m/>
    <m/>
    <s v="Replied Comment"/>
    <s v="Reply"/>
    <s v="joan anthony exactly, no different than the christian ‘meek shall inherit the earth’ nonsense"/>
    <s v="UCm7F1hYnkmFqIf7Ee5fx4PQ"/>
    <s v="Shaun Hensley"/>
    <s v="http://www.youtube.com/channel/UCm7F1hYnkmFqIf7Ee5fx4PQ"/>
    <s v="UgzvTwMhzeLv-VjJGdF4AaABAg"/>
    <s v="L3Ob_r4yk60"/>
    <s v="https://www.youtube.com/watch?v="/>
    <s v="none"/>
    <n v="2"/>
    <x v="106"/>
    <d v="2020-03-22T15:52:54.000"/>
    <m/>
    <m/>
    <m/>
    <n v="1"/>
    <s v="4"/>
    <s v="4"/>
    <n v="0"/>
    <n v="0"/>
    <n v="1"/>
    <n v="7.142857142857143"/>
    <n v="0"/>
    <n v="0"/>
    <n v="13"/>
    <n v="92.85714285714286"/>
    <n v="14"/>
  </r>
  <r>
    <s v="UC7nM_6yyE5e46kBfFap5QpA"/>
    <s v="UC7nM_6yyE5e46kBfFap5QpA"/>
    <m/>
    <m/>
    <m/>
    <m/>
    <m/>
    <m/>
    <m/>
    <m/>
    <s v="No"/>
    <n v="110"/>
    <m/>
    <m/>
    <s v="Replied Comment"/>
    <s v="Reply"/>
    <s v="@Shaun Hensley since you have figured out the makings of the universe in all your brilliance plz share this knowledge with the rest of us."/>
    <s v="UC7nM_6yyE5e46kBfFap5QpA"/>
    <s v="sharon anderson"/>
    <s v="http://www.youtube.com/channel/UC7nM_6yyE5e46kBfFap5QpA"/>
    <s v="UgzvTwMhzeLv-VjJGdF4AaABAg"/>
    <s v="L3Ob_r4yk60"/>
    <s v="https://www.youtube.com/watch?v="/>
    <s v="none"/>
    <n v="0"/>
    <x v="107"/>
    <d v="2020-03-23T07:24:15.000"/>
    <m/>
    <m/>
    <m/>
    <n v="2"/>
    <s v="4"/>
    <s v="4"/>
    <n v="1"/>
    <n v="4"/>
    <n v="0"/>
    <n v="0"/>
    <n v="0"/>
    <n v="0"/>
    <n v="24"/>
    <n v="96"/>
    <n v="25"/>
  </r>
  <r>
    <s v="UC7nM_6yyE5e46kBfFap5QpA"/>
    <s v="UC7nM_6yyE5e46kBfFap5QpA"/>
    <m/>
    <m/>
    <m/>
    <m/>
    <m/>
    <m/>
    <m/>
    <m/>
    <s v="No"/>
    <n v="111"/>
    <m/>
    <m/>
    <s v="Replied Comment"/>
    <s v="Reply"/>
    <s v="@joan anthony actually no. You are thinking from your western understanding of it. It is a whole lot more complicated than tht. You are thinking from the point of the British colonialism treatment and view of india. As for this woman she sends out greed it will snap back and hit her in the ass. Simple physics. No religious views involved. Wht goes around comes around. You think these old sayings have no meaning? You think you are the epitome of man&amp;#39;s intelligence? The is fucking hilarious if it wasn&amp;#39;t so bloody sad. Be safe."/>
    <s v="UC7nM_6yyE5e46kBfFap5QpA"/>
    <s v="sharon anderson"/>
    <s v="http://www.youtube.com/channel/UC7nM_6yyE5e46kBfFap5QpA"/>
    <s v="UgzvTwMhzeLv-VjJGdF4AaABAg"/>
    <s v="L3Ob_r4yk60"/>
    <s v="https://www.youtube.com/watch?v="/>
    <s v="none"/>
    <n v="0"/>
    <x v="108"/>
    <d v="2020-03-23T07:35:13.000"/>
    <m/>
    <m/>
    <m/>
    <n v="2"/>
    <s v="4"/>
    <s v="4"/>
    <n v="3"/>
    <n v="3.0303030303030303"/>
    <n v="5"/>
    <n v="5.05050505050505"/>
    <n v="0"/>
    <n v="0"/>
    <n v="91"/>
    <n v="91.91919191919192"/>
    <n v="99"/>
  </r>
  <r>
    <s v="UCIa6MTGkOnHzKaIHeEUTsZQ"/>
    <s v="UC7nM_6yyE5e46kBfFap5QpA"/>
    <m/>
    <m/>
    <m/>
    <m/>
    <m/>
    <m/>
    <m/>
    <m/>
    <s v="No"/>
    <n v="112"/>
    <m/>
    <m/>
    <s v="Replied Comment"/>
    <s v="Reply"/>
    <s v="Yup. Dysentery."/>
    <s v="UCIa6MTGkOnHzKaIHeEUTsZQ"/>
    <s v="Dr Dermix Girl"/>
    <s v="http://www.youtube.com/channel/UCIa6MTGkOnHzKaIHeEUTsZQ"/>
    <s v="UgzvTwMhzeLv-VjJGdF4AaABAg"/>
    <s v="L3Ob_r4yk60"/>
    <s v="https://www.youtube.com/watch?v="/>
    <s v="none"/>
    <n v="1"/>
    <x v="109"/>
    <d v="2020-03-27T07:38:36.000"/>
    <m/>
    <m/>
    <m/>
    <n v="1"/>
    <s v="4"/>
    <s v="4"/>
    <n v="0"/>
    <n v="0"/>
    <n v="0"/>
    <n v="0"/>
    <n v="0"/>
    <n v="0"/>
    <n v="2"/>
    <n v="100"/>
    <n v="2"/>
  </r>
  <r>
    <s v="UC7nM_6yyE5e46kBfFap5QpA"/>
    <s v="UCjRXO-HSl5XpuF-cWvtMV_g"/>
    <m/>
    <m/>
    <m/>
    <m/>
    <m/>
    <m/>
    <m/>
    <m/>
    <s v="No"/>
    <n v="113"/>
    <m/>
    <m/>
    <s v="Commented Video"/>
    <s v="Comment"/>
    <s v="Dollar tree should have limited sales. Woman will get her karma."/>
    <s v="UC7nM_6yyE5e46kBfFap5QpA"/>
    <s v="sharon anderson"/>
    <s v="http://www.youtube.com/channel/UC7nM_6yyE5e46kBfFap5QpA"/>
    <m/>
    <s v="L3Ob_r4yk60"/>
    <s v="https://www.youtube.com/watch?v=L3Ob_r4yk60"/>
    <s v="none"/>
    <n v="45"/>
    <x v="110"/>
    <d v="2020-03-22T11:30:43.000"/>
    <m/>
    <m/>
    <m/>
    <n v="1"/>
    <s v="4"/>
    <s v="1"/>
    <n v="0"/>
    <n v="0"/>
    <n v="1"/>
    <n v="9.090909090909092"/>
    <n v="0"/>
    <n v="0"/>
    <n v="10"/>
    <n v="90.9090909090909"/>
    <n v="11"/>
  </r>
  <r>
    <s v="UCh3sDKgt1TqH1VuAh-4u04Q"/>
    <s v="UCPs5ReaHmB8LvhgKnIznIpg"/>
    <m/>
    <m/>
    <m/>
    <m/>
    <m/>
    <m/>
    <m/>
    <m/>
    <s v="No"/>
    <n v="114"/>
    <m/>
    <m/>
    <s v="Replied Comment"/>
    <s v="Reply"/>
    <s v="Exactly. Kroger has had limits on items (hand sanitizer, Clorox wipes, lysol) for about a month now."/>
    <s v="UCh3sDKgt1TqH1VuAh-4u04Q"/>
    <s v="Celieboo"/>
    <s v="http://www.youtube.com/channel/UCh3sDKgt1TqH1VuAh-4u04Q"/>
    <s v="Ugx-t-sPLZ_MeIXPx_t4AaABAg"/>
    <s v="L3Ob_r4yk60"/>
    <s v="https://www.youtube.com/watch?v=L3Ob_r4yk60"/>
    <s v="none"/>
    <n v="0"/>
    <x v="111"/>
    <d v="2020-03-22T13:31:38.000"/>
    <m/>
    <m/>
    <m/>
    <n v="1"/>
    <s v="1"/>
    <s v="1"/>
    <n v="0"/>
    <n v="0"/>
    <n v="1"/>
    <n v="5.882352941176471"/>
    <n v="0"/>
    <n v="0"/>
    <n v="16"/>
    <n v="94.11764705882354"/>
    <n v="17"/>
  </r>
  <r>
    <s v="UCPs5ReaHmB8LvhgKnIznIpg"/>
    <s v="UCjRXO-HSl5XpuF-cWvtMV_g"/>
    <m/>
    <m/>
    <m/>
    <m/>
    <m/>
    <m/>
    <m/>
    <m/>
    <s v="No"/>
    <n v="115"/>
    <m/>
    <m/>
    <s v="Commented Video"/>
    <s v="Comment"/>
    <s v="Credit where due, part of the responsibility rests on the store who let her do it. If she wanted to make a scene, that&amp;#39;s when you get the law involved. Retailers don&amp;#39;t HAVE to sell you shit."/>
    <s v="UCPs5ReaHmB8LvhgKnIznIpg"/>
    <s v="Drae Corben"/>
    <s v="http://www.youtube.com/channel/UCPs5ReaHmB8LvhgKnIznIpg"/>
    <m/>
    <s v="L3Ob_r4yk60"/>
    <s v="https://www.youtube.com/watch?v=L3Ob_r4yk60"/>
    <s v="none"/>
    <n v="3"/>
    <x v="112"/>
    <d v="2020-03-22T11:35:50.000"/>
    <m/>
    <m/>
    <m/>
    <n v="1"/>
    <s v="1"/>
    <s v="1"/>
    <n v="0"/>
    <n v="0"/>
    <n v="1"/>
    <n v="2.4390243902439024"/>
    <n v="0"/>
    <n v="0"/>
    <n v="40"/>
    <n v="97.5609756097561"/>
    <n v="41"/>
  </r>
  <r>
    <s v="UCuFOndAULZ3uyRBasI9ahpg"/>
    <s v="UCt3qJ-f4f2XV0_8p7P0KSfA"/>
    <m/>
    <m/>
    <m/>
    <m/>
    <m/>
    <m/>
    <m/>
    <m/>
    <s v="No"/>
    <n v="116"/>
    <m/>
    <m/>
    <s v="Replied Comment"/>
    <s v="Reply"/>
    <s v="@Gamer4LIfe_07 You cannot lock someone up for NOT breaking the law lol.&lt;br /&gt;It&amp;#39;s inconsiderate...not illegal."/>
    <s v="UCuFOndAULZ3uyRBasI9ahpg"/>
    <s v="N S"/>
    <s v="http://www.youtube.com/channel/UCuFOndAULZ3uyRBasI9ahpg"/>
    <s v="UgxEAUv5au86OLO6Gyh4AaABAg"/>
    <s v="L3Ob_r4yk60"/>
    <s v="https://www.youtube.com/watch?v="/>
    <s v="none"/>
    <n v="0"/>
    <x v="113"/>
    <d v="2020-03-22T14:07:09.000"/>
    <m/>
    <m/>
    <m/>
    <n v="5"/>
    <s v="6"/>
    <s v="6"/>
    <n v="0"/>
    <n v="0"/>
    <n v="3"/>
    <n v="15.789473684210526"/>
    <n v="0"/>
    <n v="0"/>
    <n v="16"/>
    <n v="84.21052631578948"/>
    <n v="19"/>
  </r>
  <r>
    <s v="UCuFOndAULZ3uyRBasI9ahpg"/>
    <s v="UCt3qJ-f4f2XV0_8p7P0KSfA"/>
    <m/>
    <m/>
    <m/>
    <m/>
    <m/>
    <m/>
    <m/>
    <m/>
    <s v="No"/>
    <n v="117"/>
    <m/>
    <m/>
    <s v="Replied Comment"/>
    <s v="Reply"/>
    <s v="@Erik Moss Where in America can you be arrested for legally buying what you can afford?"/>
    <s v="UCuFOndAULZ3uyRBasI9ahpg"/>
    <s v="N S"/>
    <s v="http://www.youtube.com/channel/UCuFOndAULZ3uyRBasI9ahpg"/>
    <s v="UgxEAUv5au86OLO6Gyh4AaABAg"/>
    <s v="L3Ob_r4yk60"/>
    <s v="https://www.youtube.com/watch?v="/>
    <s v="none"/>
    <n v="0"/>
    <x v="114"/>
    <d v="2020-03-22T17:20:00.000"/>
    <m/>
    <m/>
    <m/>
    <n v="5"/>
    <s v="6"/>
    <s v="6"/>
    <n v="1"/>
    <n v="6.25"/>
    <n v="0"/>
    <n v="0"/>
    <n v="0"/>
    <n v="0"/>
    <n v="15"/>
    <n v="93.75"/>
    <n v="16"/>
  </r>
  <r>
    <s v="UCuFOndAULZ3uyRBasI9ahpg"/>
    <s v="UCt3qJ-f4f2XV0_8p7P0KSfA"/>
    <m/>
    <m/>
    <m/>
    <m/>
    <m/>
    <m/>
    <m/>
    <m/>
    <s v="No"/>
    <n v="118"/>
    <m/>
    <m/>
    <s v="Replied Comment"/>
    <s v="Reply"/>
    <s v="@Erik Moss That doesn&amp;#39;t answer my question."/>
    <s v="UCuFOndAULZ3uyRBasI9ahpg"/>
    <s v="N S"/>
    <s v="http://www.youtube.com/channel/UCuFOndAULZ3uyRBasI9ahpg"/>
    <s v="UgxEAUv5au86OLO6Gyh4AaABAg"/>
    <s v="L3Ob_r4yk60"/>
    <s v="https://www.youtube.com/watch?v="/>
    <s v="none"/>
    <n v="0"/>
    <x v="115"/>
    <d v="2020-03-22T19:48:41.000"/>
    <m/>
    <m/>
    <m/>
    <n v="5"/>
    <s v="6"/>
    <s v="6"/>
    <n v="0"/>
    <n v="0"/>
    <n v="0"/>
    <n v="0"/>
    <n v="0"/>
    <n v="0"/>
    <n v="9"/>
    <n v="100"/>
    <n v="9"/>
  </r>
  <r>
    <s v="UCuFOndAULZ3uyRBasI9ahpg"/>
    <s v="UCt3qJ-f4f2XV0_8p7P0KSfA"/>
    <m/>
    <m/>
    <m/>
    <m/>
    <m/>
    <m/>
    <m/>
    <m/>
    <s v="No"/>
    <n v="119"/>
    <m/>
    <m/>
    <s v="Replied Comment"/>
    <s v="Reply"/>
    <s v="@Matt Lilly Agreed. If she doesn&amp;#39;t stay within the 10% margin. &lt;br /&gt;But asserting that she should bee arrested for a legal purchase doesn&amp;#39;t make sense."/>
    <s v="UCuFOndAULZ3uyRBasI9ahpg"/>
    <s v="N S"/>
    <s v="http://www.youtube.com/channel/UCuFOndAULZ3uyRBasI9ahpg"/>
    <s v="UgxEAUv5au86OLO6Gyh4AaABAg"/>
    <s v="L3Ob_r4yk60"/>
    <s v="https://www.youtube.com/watch?v="/>
    <s v="none"/>
    <n v="0"/>
    <x v="116"/>
    <d v="2020-03-22T19:59:24.000"/>
    <m/>
    <m/>
    <m/>
    <n v="5"/>
    <s v="6"/>
    <s v="6"/>
    <n v="0"/>
    <n v="0"/>
    <n v="0"/>
    <n v="0"/>
    <n v="0"/>
    <n v="0"/>
    <n v="30"/>
    <n v="100"/>
    <n v="30"/>
  </r>
  <r>
    <s v="UCuFOndAULZ3uyRBasI9ahpg"/>
    <s v="UCt3qJ-f4f2XV0_8p7P0KSfA"/>
    <m/>
    <m/>
    <m/>
    <m/>
    <m/>
    <m/>
    <m/>
    <m/>
    <s v="No"/>
    <n v="120"/>
    <m/>
    <m/>
    <s v="Replied Comment"/>
    <s v="Reply"/>
    <s v="@Erik Moss &lt;br /&gt;There should... but being that this is America, people (especially those on the right) would start complaining about socialism and communism and about martial law being enforced and what not like they have already; bit it&amp;#39;s the most efficient way to ensure fair distribution."/>
    <s v="UCuFOndAULZ3uyRBasI9ahpg"/>
    <s v="N S"/>
    <s v="http://www.youtube.com/channel/UCuFOndAULZ3uyRBasI9ahpg"/>
    <s v="UgxEAUv5au86OLO6Gyh4AaABAg"/>
    <s v="L3Ob_r4yk60"/>
    <s v="https://www.youtube.com/watch?v="/>
    <s v="none"/>
    <n v="0"/>
    <x v="117"/>
    <d v="2020-03-22T20:34:08.000"/>
    <m/>
    <m/>
    <m/>
    <n v="5"/>
    <s v="6"/>
    <s v="6"/>
    <n v="4"/>
    <n v="8.16326530612245"/>
    <n v="1"/>
    <n v="2.0408163265306123"/>
    <n v="0"/>
    <n v="0"/>
    <n v="44"/>
    <n v="89.79591836734694"/>
    <n v="49"/>
  </r>
  <r>
    <s v="UCZZSzZTvNoIpziLJhr4_2Hg"/>
    <s v="UCt3qJ-f4f2XV0_8p7P0KSfA"/>
    <m/>
    <m/>
    <m/>
    <m/>
    <m/>
    <m/>
    <m/>
    <m/>
    <s v="No"/>
    <n v="121"/>
    <m/>
    <m/>
    <s v="Replied Comment"/>
    <s v="Reply"/>
    <s v="The woman filming sounds familiar"/>
    <s v="UCZZSzZTvNoIpziLJhr4_2Hg"/>
    <s v="kiss butt"/>
    <s v="http://www.youtube.com/channel/UCZZSzZTvNoIpziLJhr4_2Hg"/>
    <s v="UgxEAUv5au86OLO6Gyh4AaABAg"/>
    <s v="L3Ob_r4yk60"/>
    <s v="https://www.youtube.com/watch?v="/>
    <s v="none"/>
    <n v="0"/>
    <x v="118"/>
    <d v="2020-03-22T17:03:09.000"/>
    <m/>
    <m/>
    <m/>
    <n v="2"/>
    <s v="6"/>
    <s v="6"/>
    <n v="0"/>
    <n v="0"/>
    <n v="0"/>
    <n v="0"/>
    <n v="0"/>
    <n v="0"/>
    <n v="5"/>
    <n v="100"/>
    <n v="5"/>
  </r>
  <r>
    <s v="UCZZSzZTvNoIpziLJhr4_2Hg"/>
    <s v="UCt3qJ-f4f2XV0_8p7P0KSfA"/>
    <m/>
    <m/>
    <m/>
    <m/>
    <m/>
    <m/>
    <m/>
    <m/>
    <s v="No"/>
    <n v="122"/>
    <m/>
    <m/>
    <s v="Replied Comment"/>
    <s v="Reply"/>
    <s v="N S the last in the video said that she’d resale the items the she bought."/>
    <s v="UCZZSzZTvNoIpziLJhr4_2Hg"/>
    <s v="kiss butt"/>
    <s v="http://www.youtube.com/channel/UCZZSzZTvNoIpziLJhr4_2Hg"/>
    <s v="UgxEAUv5au86OLO6Gyh4AaABAg"/>
    <s v="L3Ob_r4yk60"/>
    <s v="https://www.youtube.com/watch?v="/>
    <s v="none"/>
    <n v="1"/>
    <x v="119"/>
    <d v="2020-03-23T00:13:56.000"/>
    <m/>
    <m/>
    <m/>
    <n v="2"/>
    <s v="6"/>
    <s v="6"/>
    <n v="0"/>
    <n v="0"/>
    <n v="0"/>
    <n v="0"/>
    <n v="0"/>
    <n v="0"/>
    <n v="17"/>
    <n v="100"/>
    <n v="17"/>
  </r>
  <r>
    <s v="UCvFvo310EFTNVcGfu0vvTPg"/>
    <s v="UCt3qJ-f4f2XV0_8p7P0KSfA"/>
    <m/>
    <m/>
    <m/>
    <m/>
    <m/>
    <m/>
    <m/>
    <m/>
    <s v="No"/>
    <n v="123"/>
    <m/>
    <m/>
    <s v="Replied Comment"/>
    <s v="Reply"/>
    <s v="I hope someone recognises her.  The film wasn&amp;#39;t very clear but a couple like this with that van - someone must know who they are.  I would definnitely report them.  Hopefully people will."/>
    <s v="UCvFvo310EFTNVcGfu0vvTPg"/>
    <s v="joan anthony"/>
    <s v="http://www.youtube.com/channel/UCvFvo310EFTNVcGfu0vvTPg"/>
    <s v="UgxEAUv5au86OLO6Gyh4AaABAg"/>
    <s v="L3Ob_r4yk60"/>
    <s v="https://www.youtube.com/watch?v="/>
    <s v="none"/>
    <n v="20"/>
    <x v="120"/>
    <d v="2020-03-22T12:43:04.000"/>
    <m/>
    <m/>
    <m/>
    <n v="1"/>
    <s v="3"/>
    <s v="6"/>
    <n v="2"/>
    <n v="5.882352941176471"/>
    <n v="0"/>
    <n v="0"/>
    <n v="0"/>
    <n v="0"/>
    <n v="32"/>
    <n v="94.11764705882354"/>
    <n v="34"/>
  </r>
  <r>
    <s v="UCcpk4DMUL77bDwnugsEEHwQ"/>
    <s v="UCt3qJ-f4f2XV0_8p7P0KSfA"/>
    <m/>
    <m/>
    <m/>
    <m/>
    <m/>
    <m/>
    <m/>
    <m/>
    <s v="No"/>
    <n v="124"/>
    <m/>
    <m/>
    <s v="Replied Comment"/>
    <s v="Reply"/>
    <s v="@joan anthony agreed. @Matt Lilly I also agree that woman needs to be locked up for buying up all those essential supplies! That&amp;#39;s just cold hearted."/>
    <s v="UCcpk4DMUL77bDwnugsEEHwQ"/>
    <s v="Gamer4LIfe_07"/>
    <s v="http://www.youtube.com/channel/UCcpk4DMUL77bDwnugsEEHwQ"/>
    <s v="UgxEAUv5au86OLO6Gyh4AaABAg"/>
    <s v="L3Ob_r4yk60"/>
    <s v="https://www.youtube.com/watch?v="/>
    <s v="none"/>
    <n v="14"/>
    <x v="121"/>
    <d v="2020-03-22T13:00:02.000"/>
    <m/>
    <m/>
    <m/>
    <n v="1"/>
    <s v="6"/>
    <s v="6"/>
    <n v="0"/>
    <n v="0"/>
    <n v="1"/>
    <n v="3.5714285714285716"/>
    <n v="0"/>
    <n v="0"/>
    <n v="27"/>
    <n v="96.42857142857143"/>
    <n v="28"/>
  </r>
  <r>
    <s v="UCt3qJ-f4f2XV0_8p7P0KSfA"/>
    <s v="UCt3qJ-f4f2XV0_8p7P0KSfA"/>
    <m/>
    <m/>
    <m/>
    <m/>
    <m/>
    <m/>
    <m/>
    <m/>
    <s v="No"/>
    <n v="125"/>
    <m/>
    <m/>
    <s v="Replied Comment"/>
    <s v="Reply"/>
    <s v="@N S It&amp;#39;s probably legal to BUY all that toilet paper. She hasn&amp;#39;t committed a crime YET. But as soon as she tries to sell it and price gouge, she can be charged."/>
    <s v="UCt3qJ-f4f2XV0_8p7P0KSfA"/>
    <s v="Matt Lilly"/>
    <s v="http://www.youtube.com/channel/UCt3qJ-f4f2XV0_8p7P0KSfA"/>
    <s v="UgxEAUv5au86OLO6Gyh4AaABAg"/>
    <s v="L3Ob_r4yk60"/>
    <s v="https://www.youtube.com/watch?v="/>
    <s v="none"/>
    <n v="6"/>
    <x v="122"/>
    <d v="2020-03-22T16:54:22.000"/>
    <m/>
    <m/>
    <m/>
    <n v="1"/>
    <s v="6"/>
    <s v="6"/>
    <n v="0"/>
    <n v="0"/>
    <n v="1"/>
    <n v="2.7027027027027026"/>
    <n v="0"/>
    <n v="0"/>
    <n v="36"/>
    <n v="97.29729729729729"/>
    <n v="37"/>
  </r>
  <r>
    <s v="UCt3qJ-f4f2XV0_8p7P0KSfA"/>
    <s v="UCjRXO-HSl5XpuF-cWvtMV_g"/>
    <m/>
    <m/>
    <m/>
    <m/>
    <m/>
    <m/>
    <m/>
    <m/>
    <s v="No"/>
    <n v="126"/>
    <m/>
    <m/>
    <s v="Commented Video"/>
    <s v="Comment"/>
    <s v="I believe this was in Florida. Price gouging during a state of emergency is illegal in the state of Florida. I encourage anyone witnessing anyone selling commodities at inflated prices call the police. Hopefully this woman will soon be doing time."/>
    <s v="UCt3qJ-f4f2XV0_8p7P0KSfA"/>
    <s v="Matt Lilly"/>
    <s v="http://www.youtube.com/channel/UCt3qJ-f4f2XV0_8p7P0KSfA"/>
    <m/>
    <s v="L3Ob_r4yk60"/>
    <s v="https://www.youtube.com/watch?v=L3Ob_r4yk60"/>
    <s v="none"/>
    <n v="104"/>
    <x v="123"/>
    <d v="2020-03-22T11:41:13.000"/>
    <m/>
    <m/>
    <m/>
    <n v="1"/>
    <s v="6"/>
    <s v="1"/>
    <n v="1"/>
    <n v="2.4390243902439024"/>
    <n v="3"/>
    <n v="7.317073170731708"/>
    <n v="0"/>
    <n v="0"/>
    <n v="37"/>
    <n v="90.2439024390244"/>
    <n v="41"/>
  </r>
  <r>
    <s v="UCQoKr6vwTGfnxZA4iU_GO2A"/>
    <s v="UC5wyOSu26n9JKzkBfPFxrMQ"/>
    <m/>
    <m/>
    <m/>
    <m/>
    <m/>
    <m/>
    <m/>
    <m/>
    <s v="No"/>
    <n v="127"/>
    <m/>
    <m/>
    <s v="Replied Comment"/>
    <s v="Reply"/>
    <s v="jay0571 she is the kind itching to use her gun i am sure. Pathetic woman."/>
    <s v="UCQoKr6vwTGfnxZA4iU_GO2A"/>
    <s v="ki G"/>
    <s v="http://www.youtube.com/channel/UCQoKr6vwTGfnxZA4iU_GO2A"/>
    <s v="Ugw8IPW35mNaaMyMQXB4AaABAg"/>
    <s v="L3Ob_r4yk60"/>
    <s v="https://www.youtube.com/watch?v=L3Ob_r4yk60"/>
    <s v="none"/>
    <n v="4"/>
    <x v="124"/>
    <d v="2020-03-22T14:09:19.000"/>
    <m/>
    <m/>
    <m/>
    <n v="1"/>
    <s v="4"/>
    <s v="4"/>
    <n v="0"/>
    <n v="0"/>
    <n v="2"/>
    <n v="13.333333333333334"/>
    <n v="0"/>
    <n v="0"/>
    <n v="13"/>
    <n v="86.66666666666667"/>
    <n v="15"/>
  </r>
  <r>
    <s v="UCm7F1hYnkmFqIf7Ee5fx4PQ"/>
    <s v="UC5wyOSu26n9JKzkBfPFxrMQ"/>
    <m/>
    <m/>
    <m/>
    <m/>
    <m/>
    <m/>
    <m/>
    <m/>
    <s v="No"/>
    <n v="128"/>
    <m/>
    <m/>
    <s v="Replied Comment"/>
    <s v="Reply"/>
    <s v="ki G yeah? Well she isn’t the only armed person in fla."/>
    <s v="UCm7F1hYnkmFqIf7Ee5fx4PQ"/>
    <s v="Shaun Hensley"/>
    <s v="http://www.youtube.com/channel/UCm7F1hYnkmFqIf7Ee5fx4PQ"/>
    <s v="Ugw8IPW35mNaaMyMQXB4AaABAg"/>
    <s v="L3Ob_r4yk60"/>
    <s v="https://www.youtube.com/watch?v=L3Ob_r4yk60"/>
    <s v="none"/>
    <n v="5"/>
    <x v="125"/>
    <d v="2020-03-22T15:51:27.000"/>
    <m/>
    <m/>
    <m/>
    <n v="1"/>
    <s v="4"/>
    <s v="4"/>
    <n v="1"/>
    <n v="7.6923076923076925"/>
    <n v="0"/>
    <n v="0"/>
    <n v="0"/>
    <n v="0"/>
    <n v="12"/>
    <n v="92.3076923076923"/>
    <n v="13"/>
  </r>
  <r>
    <s v="UC5wyOSu26n9JKzkBfPFxrMQ"/>
    <s v="UCjRXO-HSl5XpuF-cWvtMV_g"/>
    <m/>
    <m/>
    <m/>
    <m/>
    <m/>
    <m/>
    <m/>
    <m/>
    <s v="No"/>
    <n v="129"/>
    <m/>
    <m/>
    <s v="Commented Video"/>
    <s v="Comment"/>
    <s v="Well it is florida. I got a feeling someone gonna get robbed. Neighborhood justice!!"/>
    <s v="UC5wyOSu26n9JKzkBfPFxrMQ"/>
    <s v="jay0571"/>
    <s v="http://www.youtube.com/channel/UC5wyOSu26n9JKzkBfPFxrMQ"/>
    <m/>
    <s v="L3Ob_r4yk60"/>
    <s v="https://www.youtube.com/watch?v=L3Ob_r4yk60"/>
    <s v="none"/>
    <n v="40"/>
    <x v="126"/>
    <d v="2020-03-22T11:44:35.000"/>
    <m/>
    <m/>
    <m/>
    <n v="1"/>
    <s v="4"/>
    <s v="1"/>
    <n v="1"/>
    <n v="7.142857142857143"/>
    <n v="0"/>
    <n v="0"/>
    <n v="0"/>
    <n v="0"/>
    <n v="13"/>
    <n v="92.85714285714286"/>
    <n v="14"/>
  </r>
  <r>
    <s v="UCvFvo310EFTNVcGfu0vvTPg"/>
    <s v="UCMka0q4vHGs-AHu-MNDg33Q"/>
    <m/>
    <m/>
    <m/>
    <m/>
    <m/>
    <m/>
    <m/>
    <m/>
    <s v="No"/>
    <n v="130"/>
    <m/>
    <m/>
    <s v="Replied Comment"/>
    <s v="Reply"/>
    <s v="You always get some.  They might not like what these people are doing.&lt;br /&gt;YouTube still counts it as a watch so it helps with the algorithm that pushes videos up the recommends."/>
    <s v="UCvFvo310EFTNVcGfu0vvTPg"/>
    <s v="joan anthony"/>
    <s v="http://www.youtube.com/channel/UCvFvo310EFTNVcGfu0vvTPg"/>
    <s v="Ugxb1Xwy8iHhSQooja14AaABAg"/>
    <s v="L3Ob_r4yk60"/>
    <s v="https://www.youtube.com/watch?v=L3Ob_r4yk60"/>
    <s v="none"/>
    <n v="1"/>
    <x v="127"/>
    <d v="2020-03-22T12:59:12.000"/>
    <m/>
    <m/>
    <m/>
    <n v="1"/>
    <s v="3"/>
    <s v="3"/>
    <n v="1"/>
    <n v="3.0303030303030303"/>
    <n v="0"/>
    <n v="0"/>
    <n v="0"/>
    <n v="0"/>
    <n v="32"/>
    <n v="96.96969696969697"/>
    <n v="33"/>
  </r>
  <r>
    <s v="UCMka0q4vHGs-AHu-MNDg33Q"/>
    <s v="UCjRXO-HSl5XpuF-cWvtMV_g"/>
    <m/>
    <m/>
    <m/>
    <m/>
    <m/>
    <m/>
    <m/>
    <m/>
    <s v="No"/>
    <n v="131"/>
    <m/>
    <m/>
    <s v="Commented Video"/>
    <s v="Comment"/>
    <s v="Why 4 people disliked this? LMAO"/>
    <s v="UCMka0q4vHGs-AHu-MNDg33Q"/>
    <s v="Khalid"/>
    <s v="http://www.youtube.com/channel/UCMka0q4vHGs-AHu-MNDg33Q"/>
    <m/>
    <s v="L3Ob_r4yk60"/>
    <s v="https://www.youtube.com/watch?v=L3Ob_r4yk60"/>
    <s v="none"/>
    <n v="3"/>
    <x v="128"/>
    <d v="2020-03-22T11:45:54.000"/>
    <m/>
    <m/>
    <m/>
    <n v="1"/>
    <s v="3"/>
    <s v="1"/>
    <n v="0"/>
    <n v="0"/>
    <n v="1"/>
    <n v="16.666666666666668"/>
    <n v="0"/>
    <n v="0"/>
    <n v="5"/>
    <n v="83.33333333333333"/>
    <n v="6"/>
  </r>
  <r>
    <s v="UC1wz07fnWZJCU2E6pDUHv6A"/>
    <s v="UCmwY6lE_XK0wxESST3mKjbQ"/>
    <m/>
    <m/>
    <m/>
    <m/>
    <m/>
    <m/>
    <m/>
    <m/>
    <s v="No"/>
    <n v="132"/>
    <m/>
    <m/>
    <s v="Replied Comment"/>
    <s v="Reply"/>
    <s v="Please get in touch with the food banks in your area. Also many churches have food and basic necessity banks. Please let your needs be known and please take care."/>
    <s v="UC1wz07fnWZJCU2E6pDUHv6A"/>
    <s v="angela bluebird60"/>
    <s v="http://www.youtube.com/channel/UC1wz07fnWZJCU2E6pDUHv6A"/>
    <s v="UgycVnY7FXgXZo-dev14AaABAg"/>
    <s v="L3Ob_r4yk60"/>
    <s v="https://www.youtube.com/watch?v="/>
    <s v="none"/>
    <n v="15"/>
    <x v="129"/>
    <d v="2020-03-22T12:17:19.000"/>
    <m/>
    <m/>
    <m/>
    <n v="1"/>
    <s v="2"/>
    <s v="2"/>
    <n v="0"/>
    <n v="0"/>
    <n v="0"/>
    <n v="0"/>
    <n v="0"/>
    <n v="0"/>
    <n v="30"/>
    <n v="100"/>
    <n v="30"/>
  </r>
  <r>
    <s v="UCWMXGqlsz-IritD0jiw-ENg"/>
    <s v="UCmwY6lE_XK0wxESST3mKjbQ"/>
    <m/>
    <m/>
    <m/>
    <m/>
    <m/>
    <m/>
    <m/>
    <m/>
    <s v="No"/>
    <n v="133"/>
    <m/>
    <m/>
    <s v="Replied Comment"/>
    <s v="Reply"/>
    <s v="cookie baranek&lt;br /&gt;For every slimeball that takes advantage of their neighbors in time of need, there are two who will help if you reach out. Remember the depression stories of ordinary people feeding homeless railroad tramps, unemployed through no fault of their own? Most people will share what little they have in times like these. &lt;br /&gt;Don&amp;#39;t let pride stop you from asking someone for help. To everyone else: Look around for neighbors who may be in worse shape than you, and offer to share."/>
    <s v="UCWMXGqlsz-IritD0jiw-ENg"/>
    <s v="Carol McKee"/>
    <s v="http://www.youtube.com/channel/UCWMXGqlsz-IritD0jiw-ENg"/>
    <s v="UgycVnY7FXgXZo-dev14AaABAg"/>
    <s v="L3Ob_r4yk60"/>
    <s v="https://www.youtube.com/watch?v="/>
    <s v="none"/>
    <n v="13"/>
    <x v="130"/>
    <d v="2020-03-22T12:33:42.000"/>
    <m/>
    <m/>
    <m/>
    <n v="1"/>
    <s v="2"/>
    <s v="2"/>
    <n v="3"/>
    <n v="3.409090909090909"/>
    <n v="4"/>
    <n v="4.545454545454546"/>
    <n v="0"/>
    <n v="0"/>
    <n v="81"/>
    <n v="92.04545454545455"/>
    <n v="88"/>
  </r>
  <r>
    <s v="UCgADIxA04eX5JqTbtiXkIBA"/>
    <s v="UCmwY6lE_XK0wxESST3mKjbQ"/>
    <m/>
    <m/>
    <m/>
    <m/>
    <m/>
    <m/>
    <m/>
    <m/>
    <s v="No"/>
    <n v="134"/>
    <m/>
    <m/>
    <s v="Replied Comment"/>
    <s v="Reply"/>
    <s v="Don&amp;#39;t give up. I know where you&amp;#39;re at. I&amp;#39;m disabled due to a Traumatic Brain Injury. EBT benefits are already gone &amp;amp; if my 81-year old Mom is sending me money so I can buy food to get me through until April. Please don&amp;#39;t give up. Reach out to others for help. We must swallow our pride and  seek help &amp;amp; accept help from others. Please don&amp;#39;t give up 💚"/>
    <s v="UCgADIxA04eX5JqTbtiXkIBA"/>
    <s v="Renee Lynda Martinez"/>
    <s v="http://www.youtube.com/channel/UCgADIxA04eX5JqTbtiXkIBA"/>
    <s v="UgycVnY7FXgXZo-dev14AaABAg"/>
    <s v="L3Ob_r4yk60"/>
    <s v="https://www.youtube.com/watch?v="/>
    <s v="none"/>
    <n v="13"/>
    <x v="131"/>
    <d v="2020-03-22T13:14:04.000"/>
    <m/>
    <m/>
    <m/>
    <n v="1"/>
    <s v="2"/>
    <s v="2"/>
    <n v="2"/>
    <n v="2.5"/>
    <n v="3"/>
    <n v="3.75"/>
    <n v="0"/>
    <n v="0"/>
    <n v="75"/>
    <n v="93.75"/>
    <n v="80"/>
  </r>
  <r>
    <s v="UCxLES-3tK4vhQ8cLIIm7sYA"/>
    <s v="UCmwY6lE_XK0wxESST3mKjbQ"/>
    <m/>
    <m/>
    <m/>
    <m/>
    <m/>
    <m/>
    <m/>
    <m/>
    <s v="No"/>
    <n v="135"/>
    <m/>
    <m/>
    <s v="Replied Comment"/>
    <s v="Reply"/>
    <s v="Are there not any MUTUAL AID groups in your area? Since you are on line do a search, I know on both sides of the pond there are mutual aid groups as I have been sharing them, try searching Anarchists Black Cross they are informing about them..."/>
    <s v="UCxLES-3tK4vhQ8cLIIm7sYA"/>
    <s v="Kato Lee"/>
    <s v="http://www.youtube.com/channel/UCxLES-3tK4vhQ8cLIIm7sYA"/>
    <s v="UgycVnY7FXgXZo-dev14AaABAg"/>
    <s v="L3Ob_r4yk60"/>
    <s v="https://www.youtube.com/watch?v="/>
    <s v="none"/>
    <n v="1"/>
    <x v="132"/>
    <d v="2020-03-22T14:22:07.000"/>
    <m/>
    <m/>
    <m/>
    <n v="2"/>
    <s v="2"/>
    <s v="2"/>
    <n v="0"/>
    <n v="0"/>
    <n v="0"/>
    <n v="0"/>
    <n v="0"/>
    <n v="0"/>
    <n v="47"/>
    <n v="100"/>
    <n v="47"/>
  </r>
  <r>
    <s v="UCxLES-3tK4vhQ8cLIIm7sYA"/>
    <s v="UCmwY6lE_XK0wxESST3mKjbQ"/>
    <m/>
    <m/>
    <m/>
    <m/>
    <m/>
    <m/>
    <m/>
    <m/>
    <s v="No"/>
    <n v="136"/>
    <m/>
    <m/>
    <s v="Replied Comment"/>
    <s v="Reply"/>
    <s v="@Renee Lynda Martinez try searching for Mutual Aid groups Anarchist Black Cross can help, the reaching out started ages ago!..."/>
    <s v="UCxLES-3tK4vhQ8cLIIm7sYA"/>
    <s v="Kato Lee"/>
    <s v="http://www.youtube.com/channel/UCxLES-3tK4vhQ8cLIIm7sYA"/>
    <s v="UgycVnY7FXgXZo-dev14AaABAg"/>
    <s v="L3Ob_r4yk60"/>
    <s v="https://www.youtube.com/watch?v="/>
    <s v="none"/>
    <n v="1"/>
    <x v="133"/>
    <d v="2020-03-22T14:23:52.000"/>
    <m/>
    <m/>
    <m/>
    <n v="2"/>
    <s v="2"/>
    <s v="2"/>
    <n v="0"/>
    <n v="0"/>
    <n v="1"/>
    <n v="5"/>
    <n v="0"/>
    <n v="0"/>
    <n v="19"/>
    <n v="95"/>
    <n v="20"/>
  </r>
  <r>
    <s v="UCWo-NV8TV7NgAoRgvvuu0Fg"/>
    <s v="UCmwY6lE_XK0wxESST3mKjbQ"/>
    <m/>
    <m/>
    <m/>
    <m/>
    <m/>
    <m/>
    <m/>
    <m/>
    <s v="No"/>
    <n v="137"/>
    <m/>
    <m/>
    <s v="Replied Comment"/>
    <s v="Reply"/>
    <s v="cookie baranek Do you have the Nextdoor app in your area? If you post about your situation there, you may be surprised at how many people in your community want to help out."/>
    <s v="UCWo-NV8TV7NgAoRgvvuu0Fg"/>
    <s v="B. Greene"/>
    <s v="http://www.youtube.com/channel/UCWo-NV8TV7NgAoRgvvuu0Fg"/>
    <s v="UgycVnY7FXgXZo-dev14AaABAg"/>
    <s v="L3Ob_r4yk60"/>
    <s v="https://www.youtube.com/watch?v="/>
    <s v="none"/>
    <n v="3"/>
    <x v="134"/>
    <d v="2020-03-22T14:04:39.000"/>
    <m/>
    <m/>
    <m/>
    <n v="1"/>
    <s v="1"/>
    <s v="2"/>
    <n v="0"/>
    <n v="0"/>
    <n v="0"/>
    <n v="0"/>
    <n v="0"/>
    <n v="0"/>
    <n v="33"/>
    <n v="100"/>
    <n v="33"/>
  </r>
  <r>
    <s v="UCI4gPi01UDuazhDGJEVOwlg"/>
    <s v="UCmwY6lE_XK0wxESST3mKjbQ"/>
    <m/>
    <m/>
    <m/>
    <m/>
    <m/>
    <m/>
    <m/>
    <m/>
    <s v="No"/>
    <n v="138"/>
    <m/>
    <m/>
    <s v="Replied Comment"/>
    <s v="Reply"/>
    <s v="@Carol McKee Some will, most won&amp;#39;t. There&amp;#39;s a reason John Steinbeck&amp;#39;s &amp;quot;Grapes of Wrath&amp;quot;  won the Nobel Prize. Read it if you haven&amp;#39;t yet. Read it again if you have."/>
    <s v="UCI4gPi01UDuazhDGJEVOwlg"/>
    <s v="Paul Romano"/>
    <s v="http://www.youtube.com/channel/UCI4gPi01UDuazhDGJEVOwlg"/>
    <s v="UgycVnY7FXgXZo-dev14AaABAg"/>
    <s v="L3Ob_r4yk60"/>
    <s v="https://www.youtube.com/watch?v="/>
    <s v="none"/>
    <n v="0"/>
    <x v="135"/>
    <d v="2020-03-22T15:22:55.000"/>
    <m/>
    <m/>
    <m/>
    <n v="1"/>
    <s v="2"/>
    <s v="2"/>
    <n v="3"/>
    <n v="7.5"/>
    <n v="1"/>
    <n v="2.5"/>
    <n v="0"/>
    <n v="0"/>
    <n v="36"/>
    <n v="90"/>
    <n v="40"/>
  </r>
  <r>
    <s v="UCmwY6lE_XK0wxESST3mKjbQ"/>
    <s v="UCjRXO-HSl5XpuF-cWvtMV_g"/>
    <m/>
    <m/>
    <m/>
    <m/>
    <m/>
    <m/>
    <m/>
    <m/>
    <s v="No"/>
    <n v="139"/>
    <m/>
    <m/>
    <s v="Commented Video"/>
    <s v="Comment"/>
    <s v="I&amp;#39;m a disabled senior and I don&amp;#39;t know how I&amp;#39;m going to make it through this pandemic on food stamps, they are not running the sales and I can&amp;#39;t find the house brands to stretch the little amount food stamps gives me. It&amp;#39;s just not worth the fight anymore."/>
    <s v="UCmwY6lE_XK0wxESST3mKjbQ"/>
    <s v="cookie baranek"/>
    <s v="http://www.youtube.com/channel/UCmwY6lE_XK0wxESST3mKjbQ"/>
    <m/>
    <s v="L3Ob_r4yk60"/>
    <s v="https://www.youtube.com/watch?v=L3Ob_r4yk60"/>
    <s v="none"/>
    <n v="24"/>
    <x v="136"/>
    <d v="2020-03-22T12:01:51.000"/>
    <m/>
    <m/>
    <m/>
    <n v="1"/>
    <s v="2"/>
    <s v="1"/>
    <n v="1"/>
    <n v="1.694915254237288"/>
    <n v="1"/>
    <n v="1.694915254237288"/>
    <n v="0"/>
    <n v="0"/>
    <n v="57"/>
    <n v="96.61016949152543"/>
    <n v="59"/>
  </r>
  <r>
    <s v="UCuDm7IEMWAR_lgmIfeAd-lA"/>
    <s v="UCgxim1If1GRYfn0LlcNMZPw"/>
    <m/>
    <m/>
    <m/>
    <m/>
    <m/>
    <m/>
    <m/>
    <m/>
    <s v="No"/>
    <n v="140"/>
    <m/>
    <m/>
    <s v="Replied Comment"/>
    <s v="Reply"/>
    <s v="Doxing  is bullshit.  But, you&amp;#39;re completely right about the store&amp;#39;s management."/>
    <s v="UCuDm7IEMWAR_lgmIfeAd-lA"/>
    <s v="665 The Neighbor of the Beast"/>
    <s v="http://www.youtube.com/channel/UCuDm7IEMWAR_lgmIfeAd-lA"/>
    <s v="Ugw-J1lLpAAnh12r75p4AaABAg"/>
    <s v="L3Ob_r4yk60"/>
    <s v="https://www.youtube.com/watch?v=L3Ob_r4yk60"/>
    <s v="none"/>
    <n v="3"/>
    <x v="137"/>
    <d v="2020-03-22T13:47:39.000"/>
    <m/>
    <m/>
    <m/>
    <n v="1"/>
    <s v="3"/>
    <s v="3"/>
    <n v="1"/>
    <n v="6.666666666666667"/>
    <n v="1"/>
    <n v="6.666666666666667"/>
    <n v="0"/>
    <n v="0"/>
    <n v="13"/>
    <n v="86.66666666666667"/>
    <n v="15"/>
  </r>
  <r>
    <s v="UCvFvo310EFTNVcGfu0vvTPg"/>
    <s v="UC3FuzRl3D9jgmPNptxrJiIA"/>
    <m/>
    <m/>
    <m/>
    <m/>
    <m/>
    <m/>
    <m/>
    <m/>
    <s v="No"/>
    <n v="141"/>
    <m/>
    <m/>
    <s v="Replied Comment"/>
    <s v="Reply"/>
    <s v="All of them.  The store for selling it.  Them for buying it.  The police too if they don&amp;#39;t arrest them."/>
    <s v="UCvFvo310EFTNVcGfu0vvTPg"/>
    <s v="joan anthony"/>
    <s v="http://www.youtube.com/channel/UCvFvo310EFTNVcGfu0vvTPg"/>
    <s v="UgwXFOc_R4zUlBSX8Ft4AaABAg"/>
    <s v="L3Ob_r4yk60"/>
    <s v="https://www.youtube.com/watch?v=L3Ob_r4yk60"/>
    <s v="none"/>
    <n v="1"/>
    <x v="138"/>
    <d v="2020-03-22T12:55:22.000"/>
    <m/>
    <m/>
    <m/>
    <n v="1"/>
    <s v="3"/>
    <s v="3"/>
    <n v="0"/>
    <n v="0"/>
    <n v="0"/>
    <n v="0"/>
    <n v="0"/>
    <n v="0"/>
    <n v="22"/>
    <n v="100"/>
    <n v="22"/>
  </r>
  <r>
    <s v="UC3FuzRl3D9jgmPNptxrJiIA"/>
    <s v="UCjRXO-HSl5XpuF-cWvtMV_g"/>
    <m/>
    <m/>
    <m/>
    <m/>
    <m/>
    <m/>
    <m/>
    <m/>
    <s v="No"/>
    <n v="142"/>
    <m/>
    <m/>
    <s v="Commented Video"/>
    <s v="Comment"/>
    <s v="Stores dam fault for not setting limits"/>
    <s v="UC3FuzRl3D9jgmPNptxrJiIA"/>
    <s v="WrathBliss Media'n'Music"/>
    <s v="http://www.youtube.com/channel/UC3FuzRl3D9jgmPNptxrJiIA"/>
    <m/>
    <s v="L3Ob_r4yk60"/>
    <s v="https://www.youtube.com/watch?v=L3Ob_r4yk60"/>
    <s v="none"/>
    <n v="4"/>
    <x v="139"/>
    <d v="2020-03-22T12:04:34.000"/>
    <m/>
    <m/>
    <m/>
    <n v="1"/>
    <s v="3"/>
    <s v="1"/>
    <n v="0"/>
    <n v="0"/>
    <n v="2"/>
    <n v="28.571428571428573"/>
    <n v="0"/>
    <n v="0"/>
    <n v="5"/>
    <n v="71.42857142857143"/>
    <n v="7"/>
  </r>
  <r>
    <s v="UCx9C-DNiaH3FqHhf-Sruz2w"/>
    <s v="UCgxim1If1GRYfn0LlcNMZPw"/>
    <m/>
    <m/>
    <m/>
    <m/>
    <m/>
    <m/>
    <m/>
    <m/>
    <s v="No"/>
    <n v="143"/>
    <m/>
    <m/>
    <s v="Replied Comment"/>
    <s v="Reply"/>
    <s v="Its not Tulsis fault people are stupid.Right Robert?"/>
    <s v="UCx9C-DNiaH3FqHhf-Sruz2w"/>
    <s v="Michael Lane"/>
    <s v="http://www.youtube.com/channel/UCx9C-DNiaH3FqHhf-Sruz2w"/>
    <s v="UgxgJMOE6GhTBrIOuaN4AaABAg"/>
    <s v="L3Ob_r4yk60"/>
    <s v="https://www.youtube.com/watch?v=L3Ob_r4yk60"/>
    <s v="none"/>
    <n v="0"/>
    <x v="140"/>
    <d v="2020-03-22T19:31:49.000"/>
    <m/>
    <m/>
    <m/>
    <n v="1"/>
    <s v="3"/>
    <s v="3"/>
    <n v="1"/>
    <n v="11.11111111111111"/>
    <n v="2"/>
    <n v="22.22222222222222"/>
    <n v="0"/>
    <n v="0"/>
    <n v="6"/>
    <n v="66.66666666666667"/>
    <n v="9"/>
  </r>
  <r>
    <s v="UCgxim1If1GRYfn0LlcNMZPw"/>
    <s v="UCjRXO-HSl5XpuF-cWvtMV_g"/>
    <m/>
    <m/>
    <m/>
    <m/>
    <m/>
    <m/>
    <m/>
    <m/>
    <s v="No"/>
    <n v="144"/>
    <m/>
    <m/>
    <s v="Commented Video"/>
    <s v="Comment"/>
    <s v="Give her address. The management should be fired."/>
    <s v="UCgxim1If1GRYfn0LlcNMZPw"/>
    <s v="Robert Burnett"/>
    <s v="http://www.youtube.com/channel/UCgxim1If1GRYfn0LlcNMZPw"/>
    <m/>
    <s v="L3Ob_r4yk60"/>
    <s v="https://www.youtube.com/watch?v=L3Ob_r4yk60"/>
    <s v="none"/>
    <n v="43"/>
    <x v="141"/>
    <d v="2020-03-22T12:03:31.000"/>
    <m/>
    <m/>
    <m/>
    <n v="2"/>
    <s v="3"/>
    <s v="1"/>
    <n v="0"/>
    <n v="0"/>
    <n v="0"/>
    <n v="0"/>
    <n v="0"/>
    <n v="0"/>
    <n v="8"/>
    <n v="100"/>
    <n v="8"/>
  </r>
  <r>
    <s v="UCvFvo310EFTNVcGfu0vvTPg"/>
    <s v="UCgxim1If1GRYfn0LlcNMZPw"/>
    <m/>
    <m/>
    <m/>
    <m/>
    <m/>
    <m/>
    <m/>
    <m/>
    <s v="No"/>
    <n v="145"/>
    <m/>
    <m/>
    <s v="Replied Comment"/>
    <s v="Reply"/>
    <s v="Only in that she leaves children alone.  Otherwise I would call it a wash."/>
    <s v="UCvFvo310EFTNVcGfu0vvTPg"/>
    <s v="joan anthony"/>
    <s v="http://www.youtube.com/channel/UCvFvo310EFTNVcGfu0vvTPg"/>
    <s v="UgxgJMOE6GhTBrIOuaN4AaABAg"/>
    <s v="L3Ob_r4yk60"/>
    <s v="https://www.youtube.com/watch?v=L3Ob_r4yk60"/>
    <s v="none"/>
    <n v="3"/>
    <x v="142"/>
    <d v="2020-03-22T12:53:59.000"/>
    <m/>
    <m/>
    <m/>
    <n v="1"/>
    <s v="3"/>
    <s v="3"/>
    <n v="0"/>
    <n v="0"/>
    <n v="0"/>
    <n v="0"/>
    <n v="0"/>
    <n v="0"/>
    <n v="14"/>
    <n v="100"/>
    <n v="14"/>
  </r>
  <r>
    <s v="UCgxim1If1GRYfn0LlcNMZPw"/>
    <s v="UCjRXO-HSl5XpuF-cWvtMV_g"/>
    <m/>
    <m/>
    <m/>
    <m/>
    <m/>
    <m/>
    <m/>
    <m/>
    <s v="No"/>
    <n v="146"/>
    <m/>
    <m/>
    <s v="Commented Video"/>
    <s v="Comment"/>
    <s v="Biden would be worse than Pelosi if he was in office. Right, Tulsi?"/>
    <s v="UCgxim1If1GRYfn0LlcNMZPw"/>
    <s v="Robert Burnett"/>
    <s v="http://www.youtube.com/channel/UCgxim1If1GRYfn0LlcNMZPw"/>
    <m/>
    <s v="L3Ob_r4yk60"/>
    <s v="https://www.youtube.com/watch?v=L3Ob_r4yk60"/>
    <s v="none"/>
    <n v="25"/>
    <x v="143"/>
    <d v="2020-03-22T12:07:37.000"/>
    <m/>
    <m/>
    <m/>
    <n v="2"/>
    <s v="3"/>
    <s v="1"/>
    <n v="1"/>
    <n v="7.6923076923076925"/>
    <n v="1"/>
    <n v="7.6923076923076925"/>
    <n v="0"/>
    <n v="0"/>
    <n v="11"/>
    <n v="84.61538461538461"/>
    <n v="13"/>
  </r>
  <r>
    <s v="UCBwIvSHzNL5sWjN0hcFGb2g"/>
    <s v="UCTD3T1oiITOBMSLWnOlRx9g"/>
    <m/>
    <m/>
    <m/>
    <m/>
    <m/>
    <m/>
    <m/>
    <m/>
    <s v="No"/>
    <n v="147"/>
    <m/>
    <m/>
    <s v="Replied Comment"/>
    <s v="Reply"/>
    <s v="Julia: Yes. This Democrat for 50 years is going to leave the ballot blank in the president spot. I feel this is the only &amp;quot;vote&amp;quot; I have anymore. Maybe a large group will feel this is the way to send a message to the DNC."/>
    <s v="UCBwIvSHzNL5sWjN0hcFGb2g"/>
    <s v="Malcolm Marzo"/>
    <s v="http://www.youtube.com/channel/UCBwIvSHzNL5sWjN0hcFGb2g"/>
    <s v="Ugxa5IXTA3Kow1-fW_d4AaABAg"/>
    <s v="L3Ob_r4yk60"/>
    <s v="https://www.youtube.com/watch?v=L3Ob_r4yk60"/>
    <s v="none"/>
    <n v="0"/>
    <x v="144"/>
    <d v="2020-03-22T17:28:16.000"/>
    <m/>
    <m/>
    <m/>
    <n v="1"/>
    <s v="2"/>
    <s v="2"/>
    <n v="0"/>
    <n v="0"/>
    <n v="0"/>
    <n v="0"/>
    <n v="0"/>
    <n v="0"/>
    <n v="47"/>
    <n v="100"/>
    <n v="47"/>
  </r>
  <r>
    <s v="UCTD3T1oiITOBMSLWnOlRx9g"/>
    <s v="UCjRXO-HSl5XpuF-cWvtMV_g"/>
    <m/>
    <m/>
    <m/>
    <m/>
    <m/>
    <m/>
    <m/>
    <m/>
    <s v="No"/>
    <n v="148"/>
    <m/>
    <m/>
    <s v="Commented Video"/>
    <s v="Comment"/>
    <s v="Well said Tim.   I will never vote Biden.   I was hoping for Bernie.   That lady buying all that toilet paper is so stupid.  If she gets sick I hope the toilet paper saves her.   It doesn&amp;#39;t matter how much money you have there&amp;#39;s no cure"/>
    <s v="UCTD3T1oiITOBMSLWnOlRx9g"/>
    <s v="Julia Montalvo"/>
    <s v="http://www.youtube.com/channel/UCTD3T1oiITOBMSLWnOlRx9g"/>
    <m/>
    <s v="L3Ob_r4yk60"/>
    <s v="https://www.youtube.com/watch?v=L3Ob_r4yk60"/>
    <s v="none"/>
    <n v="4"/>
    <x v="145"/>
    <d v="2020-03-22T12:17:09.000"/>
    <m/>
    <m/>
    <m/>
    <n v="1"/>
    <s v="2"/>
    <s v="1"/>
    <n v="2"/>
    <n v="4.081632653061225"/>
    <n v="2"/>
    <n v="4.081632653061225"/>
    <n v="0"/>
    <n v="0"/>
    <n v="45"/>
    <n v="91.83673469387755"/>
    <n v="49"/>
  </r>
  <r>
    <s v="UCwLvX1xSEvRJ0HxWIRIu6-g"/>
    <s v="UCElFOVHo3wkleRtjj2nkmoQ"/>
    <m/>
    <m/>
    <m/>
    <m/>
    <m/>
    <m/>
    <m/>
    <m/>
    <s v="No"/>
    <n v="149"/>
    <m/>
    <m/>
    <s v="Replied Comment"/>
    <s v="Reply"/>
    <s v="He didn&amp;#39;t say that about just Americans but young Americans, you know people whose adult lives are just starting yet many of them have been working since high school to help their parents or to get some money to go to college and not take on too much debt, no 0 debt just slightly less. But screw them says Joe, guess if he can&amp;#39;t feel them up they&amp;#39;re useless to him."/>
    <s v="UCwLvX1xSEvRJ0HxWIRIu6-g"/>
    <s v="The Dynast Queen"/>
    <s v="http://www.youtube.com/channel/UCwLvX1xSEvRJ0HxWIRIu6-g"/>
    <s v="UgzuWe-yv5R8gCESIbB4AaABAg"/>
    <s v="L3Ob_r4yk60"/>
    <s v="https://www.youtube.com/watch?v=L3Ob_r4yk60"/>
    <s v="none"/>
    <n v="1"/>
    <x v="146"/>
    <d v="2020-03-24T02:54:36.000"/>
    <m/>
    <m/>
    <m/>
    <n v="1"/>
    <s v="1"/>
    <s v="1"/>
    <n v="0"/>
    <n v="0"/>
    <n v="3"/>
    <n v="3.896103896103896"/>
    <n v="0"/>
    <n v="0"/>
    <n v="74"/>
    <n v="96.1038961038961"/>
    <n v="77"/>
  </r>
  <r>
    <s v="UCElFOVHo3wkleRtjj2nkmoQ"/>
    <s v="UCjRXO-HSl5XpuF-cWvtMV_g"/>
    <m/>
    <m/>
    <m/>
    <m/>
    <m/>
    <m/>
    <m/>
    <m/>
    <s v="No"/>
    <n v="150"/>
    <m/>
    <m/>
    <s v="Commented Video"/>
    <s v="Comment"/>
    <s v="Not only were we never that way but Joe was never that way based on his voting records as well as his own words. When asked about the American people having it tough he said that he had no sympathy. &amp;quot;Give me a break&amp;quot;."/>
    <s v="UCElFOVHo3wkleRtjj2nkmoQ"/>
    <s v="Penny Astalos"/>
    <s v="http://www.youtube.com/channel/UCElFOVHo3wkleRtjj2nkmoQ"/>
    <m/>
    <s v="L3Ob_r4yk60"/>
    <s v="https://www.youtube.com/watch?v=L3Ob_r4yk60"/>
    <s v="none"/>
    <n v="60"/>
    <x v="147"/>
    <d v="2020-03-22T12:35:43.000"/>
    <m/>
    <m/>
    <m/>
    <n v="1"/>
    <s v="1"/>
    <s v="1"/>
    <n v="2"/>
    <n v="4.3478260869565215"/>
    <n v="1"/>
    <n v="2.1739130434782608"/>
    <n v="0"/>
    <n v="0"/>
    <n v="43"/>
    <n v="93.47826086956522"/>
    <n v="46"/>
  </r>
  <r>
    <s v="UCbTEPPnor25BJIqAb_ZmhAA"/>
    <s v="UCGbqK5PmhLSKcoWF3ugyfIA"/>
    <m/>
    <m/>
    <m/>
    <m/>
    <m/>
    <m/>
    <m/>
    <m/>
    <s v="No"/>
    <n v="151"/>
    <m/>
    <m/>
    <s v="Replied Comment"/>
    <s v="Reply"/>
    <s v="Trickle down &amp;quot;I&amp;#39;ve got mine, Jack! Go get your own.&amp;quot;"/>
    <s v="UCbTEPPnor25BJIqAb_ZmhAA"/>
    <s v="Keith Warner"/>
    <s v="http://www.youtube.com/channel/UCbTEPPnor25BJIqAb_ZmhAA"/>
    <s v="Ugxp9o-ZIL__RP25syx4AaABAg"/>
    <s v="L3Ob_r4yk60"/>
    <s v="https://www.youtube.com/watch?v=L3Ob_r4yk60"/>
    <s v="none"/>
    <n v="3"/>
    <x v="148"/>
    <d v="2020-03-22T17:01:12.000"/>
    <m/>
    <m/>
    <m/>
    <n v="1"/>
    <s v="9"/>
    <s v="9"/>
    <n v="0"/>
    <n v="0"/>
    <n v="0"/>
    <n v="0"/>
    <n v="0"/>
    <n v="0"/>
    <n v="14"/>
    <n v="100"/>
    <n v="14"/>
  </r>
  <r>
    <s v="UCGbqK5PmhLSKcoWF3ugyfIA"/>
    <s v="UCjRXO-HSl5XpuF-cWvtMV_g"/>
    <m/>
    <m/>
    <m/>
    <m/>
    <m/>
    <m/>
    <m/>
    <m/>
    <s v="No"/>
    <n v="152"/>
    <m/>
    <m/>
    <s v="Commented Video"/>
    <s v="Comment"/>
    <s v="It&amp;#39;s trickle down greed. Trickle down &amp;quot;F You&amp;quot;. Trickle down &amp;quot;every man for himself&amp;quot;. Trickle down &amp;quot;grab and hustle&amp;quot;."/>
    <s v="UCGbqK5PmhLSKcoWF3ugyfIA"/>
    <s v="Nia Garcia"/>
    <s v="http://www.youtube.com/channel/UCGbqK5PmhLSKcoWF3ugyfIA"/>
    <m/>
    <s v="L3Ob_r4yk60"/>
    <s v="https://www.youtube.com/watch?v=L3Ob_r4yk60"/>
    <s v="none"/>
    <n v="22"/>
    <x v="149"/>
    <d v="2020-03-22T17:30:21.000"/>
    <m/>
    <m/>
    <m/>
    <n v="1"/>
    <s v="9"/>
    <s v="1"/>
    <n v="0"/>
    <n v="0"/>
    <n v="1"/>
    <n v="3.7037037037037037"/>
    <n v="0"/>
    <n v="0"/>
    <n v="26"/>
    <n v="96.29629629629629"/>
    <n v="27"/>
  </r>
  <r>
    <s v="UCvFvo310EFTNVcGfu0vvTPg"/>
    <s v="UCpQ5hf5rc5V2YImTM7sRCyg"/>
    <m/>
    <m/>
    <m/>
    <m/>
    <m/>
    <m/>
    <m/>
    <m/>
    <s v="No"/>
    <n v="153"/>
    <m/>
    <m/>
    <s v="Replied Comment"/>
    <s v="Reply"/>
    <s v="Sometimes, a good old public shaming is the best that can be done."/>
    <s v="UCvFvo310EFTNVcGfu0vvTPg"/>
    <s v="joan anthony"/>
    <s v="http://www.youtube.com/channel/UCvFvo310EFTNVcGfu0vvTPg"/>
    <s v="UgwNJRpB4Azq-cbnvEV4AaABAg"/>
    <s v="L3Ob_r4yk60"/>
    <s v="https://www.youtube.com/watch?v=L3Ob_r4yk60"/>
    <s v="none"/>
    <n v="1"/>
    <x v="150"/>
    <d v="2020-03-22T13:02:36.000"/>
    <m/>
    <m/>
    <m/>
    <n v="1"/>
    <s v="3"/>
    <s v="3"/>
    <n v="2"/>
    <n v="15.384615384615385"/>
    <n v="0"/>
    <n v="0"/>
    <n v="0"/>
    <n v="0"/>
    <n v="11"/>
    <n v="84.61538461538461"/>
    <n v="13"/>
  </r>
  <r>
    <s v="UCpQ5hf5rc5V2YImTM7sRCyg"/>
    <s v="UCjRXO-HSl5XpuF-cWvtMV_g"/>
    <m/>
    <m/>
    <m/>
    <m/>
    <m/>
    <m/>
    <m/>
    <m/>
    <s v="No"/>
    <n v="154"/>
    <m/>
    <m/>
    <s v="Commented Video"/>
    <s v="Comment"/>
    <s v="Oh, do I agree with you. A large part of us are good human beings. But the percentage that aren&amp;#39;t good still exists. What do we do about them?"/>
    <s v="UCpQ5hf5rc5V2YImTM7sRCyg"/>
    <s v="Debi Powell"/>
    <s v="http://www.youtube.com/channel/UCpQ5hf5rc5V2YImTM7sRCyg"/>
    <m/>
    <s v="L3Ob_r4yk60"/>
    <s v="https://www.youtube.com/watch?v=L3Ob_r4yk60"/>
    <s v="none"/>
    <n v="1"/>
    <x v="151"/>
    <d v="2020-03-22T12:37:41.000"/>
    <m/>
    <m/>
    <m/>
    <n v="1"/>
    <s v="3"/>
    <s v="1"/>
    <n v="2"/>
    <n v="6.451612903225806"/>
    <n v="0"/>
    <n v="0"/>
    <n v="0"/>
    <n v="0"/>
    <n v="29"/>
    <n v="93.54838709677419"/>
    <n v="31"/>
  </r>
  <r>
    <s v="UCvFvo310EFTNVcGfu0vvTPg"/>
    <s v="UC-ZYElr8s4DUq_mV-54LYww"/>
    <m/>
    <m/>
    <m/>
    <m/>
    <m/>
    <m/>
    <m/>
    <m/>
    <s v="No"/>
    <n v="155"/>
    <m/>
    <m/>
    <s v="Replied Comment"/>
    <s v="Reply"/>
    <s v="Yes, if she had claimed that, they should ring the Home and check but she did not seem charitable."/>
    <s v="UCvFvo310EFTNVcGfu0vvTPg"/>
    <s v="joan anthony"/>
    <s v="http://www.youtube.com/channel/UCvFvo310EFTNVcGfu0vvTPg"/>
    <s v="UgxKUOMwTJ2EUFlidfl4AaABAg"/>
    <s v="L3Ob_r4yk60"/>
    <s v="https://www.youtube.com/watch?v=L3Ob_r4yk60"/>
    <s v="none"/>
    <n v="1"/>
    <x v="152"/>
    <d v="2020-03-22T13:02:16.000"/>
    <m/>
    <m/>
    <m/>
    <n v="1"/>
    <s v="3"/>
    <s v="3"/>
    <n v="1"/>
    <n v="5.2631578947368425"/>
    <n v="0"/>
    <n v="0"/>
    <n v="0"/>
    <n v="0"/>
    <n v="18"/>
    <n v="94.73684210526316"/>
    <n v="19"/>
  </r>
  <r>
    <s v="UC-ZYElr8s4DUq_mV-54LYww"/>
    <s v="UCjRXO-HSl5XpuF-cWvtMV_g"/>
    <m/>
    <m/>
    <m/>
    <m/>
    <m/>
    <m/>
    <m/>
    <m/>
    <s v="No"/>
    <n v="156"/>
    <m/>
    <m/>
    <s v="Commented Video"/>
    <s v="Comment"/>
    <s v="If that lady was in fact bringing all that product to a retirement home that was forgotten by the government or the private owners stopped bothering, fine. But based on her attitude and smugness, I&amp;#39;m thinking that&amp;#39;s wishful thinking. However, I do agree that store should not have sold all that product to a single person, regardless of the why."/>
    <s v="UC-ZYElr8s4DUq_mV-54LYww"/>
    <s v="David Soll"/>
    <s v="http://www.youtube.com/channel/UC-ZYElr8s4DUq_mV-54LYww"/>
    <m/>
    <s v="L3Ob_r4yk60"/>
    <s v="https://www.youtube.com/watch?v=L3Ob_r4yk60"/>
    <s v="none"/>
    <n v="2"/>
    <x v="153"/>
    <d v="2020-03-22T12:54:00.000"/>
    <m/>
    <m/>
    <m/>
    <n v="1"/>
    <s v="3"/>
    <s v="1"/>
    <n v="1"/>
    <n v="1.5625"/>
    <n v="1"/>
    <n v="1.5625"/>
    <n v="0"/>
    <n v="0"/>
    <n v="62"/>
    <n v="96.875"/>
    <n v="64"/>
  </r>
  <r>
    <s v="UCUmvDtvYGtWn0X68wy2MXWQ"/>
    <s v="UCLcw5E_aZNmI37wPN1zBNow"/>
    <m/>
    <m/>
    <m/>
    <m/>
    <m/>
    <m/>
    <m/>
    <m/>
    <s v="No"/>
    <n v="157"/>
    <m/>
    <m/>
    <s v="Replied Comment"/>
    <s v="Reply"/>
    <s v="Let&amp;#39;s hope she gets the sh*ts so bad she needs all that paper!"/>
    <s v="UCUmvDtvYGtWn0X68wy2MXWQ"/>
    <s v="Rockin' Bliss"/>
    <s v="http://www.youtube.com/channel/UCUmvDtvYGtWn0X68wy2MXWQ"/>
    <s v="Ugw3bimfKycvcDiTuZx4AaABAg"/>
    <s v="L3Ob_r4yk60"/>
    <s v="https://www.youtube.com/watch?v=L3Ob_r4yk60"/>
    <s v="none"/>
    <n v="6"/>
    <x v="154"/>
    <d v="2020-03-23T01:30:39.000"/>
    <m/>
    <m/>
    <m/>
    <n v="1"/>
    <s v="1"/>
    <s v="1"/>
    <n v="0"/>
    <n v="0"/>
    <n v="1"/>
    <n v="6.25"/>
    <n v="0"/>
    <n v="0"/>
    <n v="15"/>
    <n v="93.75"/>
    <n v="16"/>
  </r>
  <r>
    <s v="UCLcw5E_aZNmI37wPN1zBNow"/>
    <s v="UCjRXO-HSl5XpuF-cWvtMV_g"/>
    <m/>
    <m/>
    <m/>
    <m/>
    <m/>
    <m/>
    <m/>
    <m/>
    <s v="No"/>
    <n v="158"/>
    <m/>
    <m/>
    <s v="Commented Video"/>
    <s v="Comment"/>
    <s v="Christians 101, going to the Dollar Tree buying up stock .  Wish the she could have interviewed the Dollar Tree Manger."/>
    <s v="UCLcw5E_aZNmI37wPN1zBNow"/>
    <s v="Peter Plantcity"/>
    <s v="http://www.youtube.com/channel/UCLcw5E_aZNmI37wPN1zBNow"/>
    <m/>
    <s v="L3Ob_r4yk60"/>
    <s v="https://www.youtube.com/watch?v=L3Ob_r4yk60"/>
    <s v="none"/>
    <n v="70"/>
    <x v="155"/>
    <d v="2020-03-22T12:59:00.000"/>
    <m/>
    <m/>
    <m/>
    <n v="1"/>
    <s v="1"/>
    <s v="1"/>
    <n v="0"/>
    <n v="0"/>
    <n v="0"/>
    <n v="0"/>
    <n v="0"/>
    <n v="0"/>
    <n v="20"/>
    <n v="100"/>
    <n v="20"/>
  </r>
  <r>
    <s v="UCNYSaKXoIywTrmguWATCGdg"/>
    <s v="UCcpk4DMUL77bDwnugsEEHwQ"/>
    <m/>
    <m/>
    <m/>
    <m/>
    <m/>
    <m/>
    <m/>
    <m/>
    <s v="No"/>
    <n v="159"/>
    <m/>
    <m/>
    <s v="Replied Comment"/>
    <s v="Reply"/>
    <s v="Police should show up and make them give it away to homeless shelters....."/>
    <s v="UCNYSaKXoIywTrmguWATCGdg"/>
    <s v="Kenneth Cadwell"/>
    <s v="http://www.youtube.com/channel/UCNYSaKXoIywTrmguWATCGdg"/>
    <s v="UgxjXnHpVHuAr0fCcXl4AaABAg"/>
    <s v="L3Ob_r4yk60"/>
    <s v="https://www.youtube.com/watch?v=L3Ob_r4yk60"/>
    <s v="none"/>
    <n v="1"/>
    <x v="156"/>
    <d v="2020-03-23T17:27:34.000"/>
    <m/>
    <m/>
    <m/>
    <n v="1"/>
    <s v="6"/>
    <s v="6"/>
    <n v="0"/>
    <n v="0"/>
    <n v="0"/>
    <n v="0"/>
    <n v="0"/>
    <n v="0"/>
    <n v="13"/>
    <n v="100"/>
    <n v="13"/>
  </r>
  <r>
    <s v="UCcpk4DMUL77bDwnugsEEHwQ"/>
    <s v="UCcpk4DMUL77bDwnugsEEHwQ"/>
    <m/>
    <m/>
    <m/>
    <m/>
    <m/>
    <m/>
    <m/>
    <m/>
    <s v="No"/>
    <n v="160"/>
    <m/>
    <m/>
    <s v="Replied Comment"/>
    <s v="Reply"/>
    <s v="@Kenneth Cadwell also a great  idea."/>
    <s v="UCcpk4DMUL77bDwnugsEEHwQ"/>
    <s v="Gamer4LIfe_07"/>
    <s v="http://www.youtube.com/channel/UCcpk4DMUL77bDwnugsEEHwQ"/>
    <s v="UgxjXnHpVHuAr0fCcXl4AaABAg"/>
    <s v="L3Ob_r4yk60"/>
    <s v="https://www.youtube.com/watch?v=L3Ob_r4yk60"/>
    <s v="none"/>
    <n v="0"/>
    <x v="157"/>
    <d v="2020-03-23T17:39:05.000"/>
    <m/>
    <m/>
    <m/>
    <n v="1"/>
    <s v="6"/>
    <s v="6"/>
    <n v="1"/>
    <n v="16.666666666666668"/>
    <n v="0"/>
    <n v="0"/>
    <n v="0"/>
    <n v="0"/>
    <n v="5"/>
    <n v="83.33333333333333"/>
    <n v="6"/>
  </r>
  <r>
    <s v="UCcpk4DMUL77bDwnugsEEHwQ"/>
    <s v="UCjRXO-HSl5XpuF-cWvtMV_g"/>
    <m/>
    <m/>
    <m/>
    <m/>
    <m/>
    <m/>
    <m/>
    <m/>
    <s v="No"/>
    <n v="161"/>
    <m/>
    <m/>
    <s v="Commented Video"/>
    <s v="Comment"/>
    <s v="Smdh dollar tree should be ashamed of themselves! That woman and her husband should get arrested or give it to people who need hand sanitizer!"/>
    <s v="UCcpk4DMUL77bDwnugsEEHwQ"/>
    <s v="Gamer4LIfe_07"/>
    <s v="http://www.youtube.com/channel/UCcpk4DMUL77bDwnugsEEHwQ"/>
    <m/>
    <s v="L3Ob_r4yk60"/>
    <s v="https://www.youtube.com/watch?v=L3Ob_r4yk60"/>
    <s v="none"/>
    <n v="12"/>
    <x v="158"/>
    <d v="2020-03-22T13:08:22.000"/>
    <m/>
    <m/>
    <m/>
    <n v="1"/>
    <s v="6"/>
    <s v="1"/>
    <n v="0"/>
    <n v="0"/>
    <n v="1"/>
    <n v="4"/>
    <n v="0"/>
    <n v="0"/>
    <n v="24"/>
    <n v="96"/>
    <n v="25"/>
  </r>
  <r>
    <s v="UCHDhEYbvt58VoB_EmmoGKzQ"/>
    <s v="UCOxR2xzgccf-z4Xknns1q9g"/>
    <m/>
    <m/>
    <m/>
    <m/>
    <m/>
    <m/>
    <m/>
    <m/>
    <s v="No"/>
    <n v="162"/>
    <m/>
    <m/>
    <s v="Replied Comment"/>
    <s v="Reply"/>
    <s v="Yes thank you Tim because I was really really having a hard time hanging on to feeling good about being an American."/>
    <s v="UCHDhEYbvt58VoB_EmmoGKzQ"/>
    <s v="Janet Baker"/>
    <s v="http://www.youtube.com/channel/UCHDhEYbvt58VoB_EmmoGKzQ"/>
    <s v="Ugzfdor51HAEjMAkdQd4AaABAg"/>
    <s v="L3Ob_r4yk60"/>
    <s v="https://www.youtube.com/watch?v=L3Ob_r4yk60"/>
    <s v="none"/>
    <n v="2"/>
    <x v="159"/>
    <d v="2020-03-22T14:48:17.000"/>
    <m/>
    <m/>
    <m/>
    <n v="1"/>
    <s v="1"/>
    <s v="1"/>
    <n v="2"/>
    <n v="9.090909090909092"/>
    <n v="1"/>
    <n v="4.545454545454546"/>
    <n v="0"/>
    <n v="0"/>
    <n v="19"/>
    <n v="86.36363636363636"/>
    <n v="22"/>
  </r>
  <r>
    <s v="UCOxR2xzgccf-z4Xknns1q9g"/>
    <s v="UCjRXO-HSl5XpuF-cWvtMV_g"/>
    <m/>
    <m/>
    <m/>
    <m/>
    <m/>
    <m/>
    <m/>
    <m/>
    <s v="No"/>
    <n v="163"/>
    <m/>
    <m/>
    <s v="Commented Video"/>
    <s v="Comment"/>
    <s v="You are an excellet human being, Tim Black and make me proud to be an American."/>
    <s v="UCOxR2xzgccf-z4Xknns1q9g"/>
    <s v="impatience1"/>
    <s v="http://www.youtube.com/channel/UCOxR2xzgccf-z4Xknns1q9g"/>
    <m/>
    <s v="L3Ob_r4yk60"/>
    <s v="https://www.youtube.com/watch?v=L3Ob_r4yk60"/>
    <s v="none"/>
    <n v="46"/>
    <x v="160"/>
    <d v="2020-03-22T13:11:51.000"/>
    <m/>
    <m/>
    <m/>
    <n v="1"/>
    <s v="1"/>
    <s v="1"/>
    <n v="1"/>
    <n v="6.25"/>
    <n v="0"/>
    <n v="0"/>
    <n v="0"/>
    <n v="0"/>
    <n v="15"/>
    <n v="93.75"/>
    <n v="16"/>
  </r>
  <r>
    <s v="UCIa6MTGkOnHzKaIHeEUTsZQ"/>
    <s v="UCSNwk1mZCxz0WkWk4C1AOog"/>
    <m/>
    <m/>
    <m/>
    <m/>
    <m/>
    <m/>
    <m/>
    <m/>
    <s v="No"/>
    <n v="164"/>
    <m/>
    <m/>
    <s v="Replied Comment"/>
    <s v="Reply"/>
    <s v="Still selfish. My mom owns residential care home that houses people in assisted living, she still would never do this."/>
    <s v="UCIa6MTGkOnHzKaIHeEUTsZQ"/>
    <s v="Dr Dermix Girl"/>
    <s v="http://www.youtube.com/channel/UCIa6MTGkOnHzKaIHeEUTsZQ"/>
    <s v="UgwpmAO3L1ztMiTB50V4AaABAg"/>
    <s v="L3Ob_r4yk60"/>
    <s v="https://www.youtube.com/watch?v=L3Ob_r4yk60"/>
    <s v="none"/>
    <n v="1"/>
    <x v="161"/>
    <d v="2020-03-27T07:42:58.000"/>
    <m/>
    <m/>
    <m/>
    <n v="1"/>
    <s v="4"/>
    <s v="4"/>
    <n v="0"/>
    <n v="0"/>
    <n v="1"/>
    <n v="5"/>
    <n v="0"/>
    <n v="0"/>
    <n v="19"/>
    <n v="95"/>
    <n v="20"/>
  </r>
  <r>
    <s v="UCSNwk1mZCxz0WkWk4C1AOog"/>
    <s v="UCSNwk1mZCxz0WkWk4C1AOog"/>
    <m/>
    <m/>
    <m/>
    <m/>
    <m/>
    <m/>
    <m/>
    <m/>
    <s v="No"/>
    <n v="165"/>
    <m/>
    <m/>
    <s v="Replied Comment"/>
    <s v="Reply"/>
    <s v="@Dr Dermix Girl . No man lol.  Billionaires have multiple properties. Normally, they live in the city.  They hire caretakers to oversee their properties while they&amp;#39;re gone.  In my experience, those people are often grimy.  You can only undercut so far before you&amp;#39;re subtly bad mouthing everybody else. And eventually, the last people standing are lazy cut throats with no kind of shame..."/>
    <s v="UCSNwk1mZCxz0WkWk4C1AOog"/>
    <s v="Terry Tater"/>
    <s v="http://www.youtube.com/channel/UCSNwk1mZCxz0WkWk4C1AOog"/>
    <s v="UgwpmAO3L1ztMiTB50V4AaABAg"/>
    <s v="L3Ob_r4yk60"/>
    <s v="https://www.youtube.com/watch?v=L3Ob_r4yk60"/>
    <s v="none"/>
    <n v="0"/>
    <x v="162"/>
    <d v="2020-03-27T08:28:58.000"/>
    <m/>
    <m/>
    <m/>
    <n v="1"/>
    <s v="4"/>
    <s v="4"/>
    <n v="0"/>
    <n v="0"/>
    <n v="4"/>
    <n v="6.0606060606060606"/>
    <n v="0"/>
    <n v="0"/>
    <n v="62"/>
    <n v="93.93939393939394"/>
    <n v="66"/>
  </r>
  <r>
    <s v="UCSNwk1mZCxz0WkWk4C1AOog"/>
    <s v="UCjRXO-HSl5XpuF-cWvtMV_g"/>
    <m/>
    <m/>
    <m/>
    <m/>
    <m/>
    <m/>
    <m/>
    <m/>
    <s v="No"/>
    <n v="166"/>
    <m/>
    <m/>
    <s v="Commented Video"/>
    <s v="Comment"/>
    <s v="They&amp;#39;re probably care takers. Those are for billionaires, most likely.  They could be reselling them but they don&amp;#39;t look like they have the spending cash..."/>
    <s v="UCSNwk1mZCxz0WkWk4C1AOog"/>
    <s v="Terry Tater"/>
    <s v="http://www.youtube.com/channel/UCSNwk1mZCxz0WkWk4C1AOog"/>
    <m/>
    <s v="L3Ob_r4yk60"/>
    <s v="https://www.youtube.com/watch?v=L3Ob_r4yk60"/>
    <s v="none"/>
    <n v="4"/>
    <x v="163"/>
    <d v="2020-03-22T13:17:21.000"/>
    <m/>
    <m/>
    <m/>
    <n v="1"/>
    <s v="4"/>
    <s v="1"/>
    <n v="1"/>
    <n v="3.4482758620689653"/>
    <n v="0"/>
    <n v="0"/>
    <n v="0"/>
    <n v="0"/>
    <n v="28"/>
    <n v="96.55172413793103"/>
    <n v="29"/>
  </r>
  <r>
    <s v="UCI4gPi01UDuazhDGJEVOwlg"/>
    <s v="UCiGuh8-uiYsSgzL7Vro6EUg"/>
    <m/>
    <m/>
    <m/>
    <m/>
    <m/>
    <m/>
    <m/>
    <m/>
    <s v="No"/>
    <n v="167"/>
    <m/>
    <m/>
    <s v="Replied Comment"/>
    <s v="Reply"/>
    <s v="I read a W.H.O. report that Iraq is permanently contaminated with radioactive poisoning from US depleted uranium shells. Maybe she got a dose."/>
    <s v="UCI4gPi01UDuazhDGJEVOwlg"/>
    <s v="Paul Romano"/>
    <s v="http://www.youtube.com/channel/UCI4gPi01UDuazhDGJEVOwlg"/>
    <s v="Ugx8l-CYHaEcZ0KgOFJ4AaABAg"/>
    <s v="L3Ob_r4yk60"/>
    <s v="https://www.youtube.com/watch?v=L3Ob_r4yk60"/>
    <s v="none"/>
    <n v="5"/>
    <x v="164"/>
    <d v="2020-03-22T15:17:17.000"/>
    <m/>
    <m/>
    <m/>
    <n v="1"/>
    <s v="2"/>
    <s v="2"/>
    <n v="0"/>
    <n v="0"/>
    <n v="1"/>
    <n v="4"/>
    <n v="0"/>
    <n v="0"/>
    <n v="24"/>
    <n v="96"/>
    <n v="25"/>
  </r>
  <r>
    <s v="UCTHYHmZPeIxA-AlMNciltmg"/>
    <s v="UCiGuh8-uiYsSgzL7Vro6EUg"/>
    <m/>
    <m/>
    <m/>
    <m/>
    <m/>
    <m/>
    <m/>
    <m/>
    <s v="No"/>
    <n v="168"/>
    <m/>
    <m/>
    <s v="Replied Comment"/>
    <s v="Reply"/>
    <s v="Forget about Jimmy, he&amp;#39;s TFG (too far gone)."/>
    <s v="UCTHYHmZPeIxA-AlMNciltmg"/>
    <s v="Steve Warwick"/>
    <s v="http://www.youtube.com/channel/UCTHYHmZPeIxA-AlMNciltmg"/>
    <s v="Ugx8l-CYHaEcZ0KgOFJ4AaABAg"/>
    <s v="L3Ob_r4yk60"/>
    <s v="https://www.youtube.com/watch?v=L3Ob_r4yk60"/>
    <s v="none"/>
    <n v="1"/>
    <x v="165"/>
    <d v="2020-03-22T15:59:48.000"/>
    <m/>
    <m/>
    <m/>
    <n v="1"/>
    <s v="2"/>
    <s v="2"/>
    <n v="0"/>
    <n v="0"/>
    <n v="0"/>
    <n v="0"/>
    <n v="0"/>
    <n v="0"/>
    <n v="10"/>
    <n v="100"/>
    <n v="10"/>
  </r>
  <r>
    <s v="UCBwIvSHzNL5sWjN0hcFGb2g"/>
    <s v="UCiGuh8-uiYsSgzL7Vro6EUg"/>
    <m/>
    <m/>
    <m/>
    <m/>
    <m/>
    <m/>
    <m/>
    <m/>
    <s v="No"/>
    <n v="169"/>
    <m/>
    <m/>
    <s v="Replied Comment"/>
    <s v="Reply"/>
    <s v="Gita: Well stated. From a veteran of the Vietnam War Crime."/>
    <s v="UCBwIvSHzNL5sWjN0hcFGb2g"/>
    <s v="Malcolm Marzo"/>
    <s v="http://www.youtube.com/channel/UCBwIvSHzNL5sWjN0hcFGb2g"/>
    <s v="Ugx8l-CYHaEcZ0KgOFJ4AaABAg"/>
    <s v="L3Ob_r4yk60"/>
    <s v="https://www.youtube.com/watch?v=L3Ob_r4yk60"/>
    <s v="none"/>
    <n v="6"/>
    <x v="166"/>
    <d v="2020-03-22T16:16:36.000"/>
    <m/>
    <m/>
    <m/>
    <n v="1"/>
    <s v="2"/>
    <s v="2"/>
    <n v="1"/>
    <n v="9.090909090909092"/>
    <n v="1"/>
    <n v="9.090909090909092"/>
    <n v="0"/>
    <n v="0"/>
    <n v="9"/>
    <n v="81.81818181818181"/>
    <n v="11"/>
  </r>
  <r>
    <s v="UCm7F1hYnkmFqIf7Ee5fx4PQ"/>
    <s v="UCiGuh8-uiYsSgzL7Vro6EUg"/>
    <m/>
    <m/>
    <m/>
    <m/>
    <m/>
    <m/>
    <m/>
    <m/>
    <s v="No"/>
    <n v="170"/>
    <m/>
    <m/>
    <s v="Replied Comment"/>
    <s v="Reply"/>
    <s v="I really hope Jimmy comes to his senses"/>
    <s v="UCm7F1hYnkmFqIf7Ee5fx4PQ"/>
    <s v="Shaun Hensley"/>
    <s v="http://www.youtube.com/channel/UCm7F1hYnkmFqIf7Ee5fx4PQ"/>
    <s v="Ugx8l-CYHaEcZ0KgOFJ4AaABAg"/>
    <s v="L3Ob_r4yk60"/>
    <s v="https://www.youtube.com/watch?v=L3Ob_r4yk60"/>
    <s v="none"/>
    <n v="1"/>
    <x v="167"/>
    <d v="2020-03-22T15:50:22.000"/>
    <m/>
    <m/>
    <m/>
    <n v="1"/>
    <s v="4"/>
    <s v="2"/>
    <n v="0"/>
    <n v="0"/>
    <n v="0"/>
    <n v="0"/>
    <n v="0"/>
    <n v="0"/>
    <n v="8"/>
    <n v="100"/>
    <n v="8"/>
  </r>
  <r>
    <s v="UCiGuh8-uiYsSgzL7Vro6EUg"/>
    <s v="UCjRXO-HSl5XpuF-cWvtMV_g"/>
    <m/>
    <m/>
    <m/>
    <m/>
    <m/>
    <m/>
    <m/>
    <m/>
    <s v="No"/>
    <n v="171"/>
    <m/>
    <m/>
    <s v="Commented Video"/>
    <s v="Comment"/>
    <s v="Tulsi said on the Jimmy Dore show today: &amp;quot;There&amp;#39;s great honor in serving our country and whether you&amp;#39;re a kid that&amp;#39;s graduating or someone from any age, and you make that decision to go and serve our country NO MATTER THE POLITICAL CIRCUMSTANCES, that is a very rare  and special thing.&amp;quot; And Jimmy Dore said NOTHING. &lt;br /&gt;I said to myself: Yeah, Johnson. It must be a very rare and special thing to participate in genocides and get away with it. I mean this is some straight up Joseph Goebbels type shit."/>
    <s v="UCiGuh8-uiYsSgzL7Vro6EUg"/>
    <s v="Bhagavad Gita"/>
    <s v="http://www.youtube.com/channel/UCiGuh8-uiYsSgzL7Vro6EUg"/>
    <m/>
    <s v="L3Ob_r4yk60"/>
    <s v="https://www.youtube.com/watch?v=L3Ob_r4yk60"/>
    <s v="none"/>
    <n v="33"/>
    <x v="168"/>
    <d v="2020-03-22T13:29:21.000"/>
    <m/>
    <m/>
    <m/>
    <n v="1"/>
    <s v="2"/>
    <s v="1"/>
    <n v="2"/>
    <n v="2"/>
    <n v="1"/>
    <n v="1"/>
    <n v="0"/>
    <n v="0"/>
    <n v="97"/>
    <n v="97"/>
    <n v="100"/>
  </r>
  <r>
    <s v="UCm7F1hYnkmFqIf7Ee5fx4PQ"/>
    <s v="UCMOnVaVjpGTfnRXkGyE1mGw"/>
    <m/>
    <m/>
    <m/>
    <m/>
    <m/>
    <m/>
    <m/>
    <m/>
    <s v="No"/>
    <n v="172"/>
    <m/>
    <m/>
    <s v="Replied Comment"/>
    <s v="Reply"/>
    <s v="Flash Gordon whataboutism"/>
    <s v="UCm7F1hYnkmFqIf7Ee5fx4PQ"/>
    <s v="Shaun Hensley"/>
    <s v="http://www.youtube.com/channel/UCm7F1hYnkmFqIf7Ee5fx4PQ"/>
    <s v="UgzZ5QK0DKYaz1xWsOp4AaABAg"/>
    <s v="L3Ob_r4yk60"/>
    <s v="https://www.youtube.com/watch?v=L3Ob_r4yk60"/>
    <s v="none"/>
    <n v="2"/>
    <x v="169"/>
    <d v="2020-03-22T15:50:54.000"/>
    <m/>
    <m/>
    <m/>
    <n v="1"/>
    <s v="4"/>
    <s v="4"/>
    <n v="0"/>
    <n v="0"/>
    <n v="0"/>
    <n v="0"/>
    <n v="0"/>
    <n v="0"/>
    <n v="3"/>
    <n v="100"/>
    <n v="3"/>
  </r>
  <r>
    <s v="UCcTqVddA3x4PKTyY7nAuUqQ"/>
    <s v="UCMOnVaVjpGTfnRXkGyE1mGw"/>
    <m/>
    <m/>
    <m/>
    <m/>
    <m/>
    <m/>
    <m/>
    <m/>
    <s v="No"/>
    <n v="173"/>
    <m/>
    <m/>
    <s v="Replied Comment"/>
    <s v="Reply"/>
    <s v="You forgot: Goes MIA when action is needed on global pandemic and economic crises.&lt;br /&gt;&lt;br /&gt;When you’re running for President, shouldn’t you lead the charge and keep all Americans safe, especially if the current President thinks it’s all a hoax to get him out of office? How do some vague platitudes and a veto on Medicare For All, help in any way?"/>
    <s v="UCcTqVddA3x4PKTyY7nAuUqQ"/>
    <s v="Khrysalis"/>
    <s v="http://www.youtube.com/channel/UCcTqVddA3x4PKTyY7nAuUqQ"/>
    <s v="UgzZ5QK0DKYaz1xWsOp4AaABAg"/>
    <s v="L3Ob_r4yk60"/>
    <s v="https://www.youtube.com/watch?v=L3Ob_r4yk60"/>
    <s v="none"/>
    <n v="2"/>
    <x v="170"/>
    <d v="2020-03-22T16:10:23.000"/>
    <m/>
    <m/>
    <m/>
    <n v="1"/>
    <s v="4"/>
    <s v="4"/>
    <n v="2"/>
    <n v="3.0303030303030303"/>
    <n v="2"/>
    <n v="3.0303030303030303"/>
    <n v="0"/>
    <n v="0"/>
    <n v="62"/>
    <n v="93.93939393939394"/>
    <n v="66"/>
  </r>
  <r>
    <s v="UCMOnVaVjpGTfnRXkGyE1mGw"/>
    <s v="UCMOnVaVjpGTfnRXkGyE1mGw"/>
    <m/>
    <m/>
    <m/>
    <m/>
    <m/>
    <m/>
    <m/>
    <m/>
    <s v="No"/>
    <n v="174"/>
    <m/>
    <m/>
    <s v="Replied Comment"/>
    <s v="Reply"/>
    <s v="@Flash Gordon Ooooook what does that have to do with Joe Biden?"/>
    <s v="UCMOnVaVjpGTfnRXkGyE1mGw"/>
    <s v="Gengkis Khan"/>
    <s v="http://www.youtube.com/channel/UCMOnVaVjpGTfnRXkGyE1mGw"/>
    <s v="UgzZ5QK0DKYaz1xWsOp4AaABAg"/>
    <s v="L3Ob_r4yk60"/>
    <s v="https://www.youtube.com/watch?v=L3Ob_r4yk60"/>
    <s v="none"/>
    <n v="1"/>
    <x v="171"/>
    <d v="2020-03-22T15:57:40.000"/>
    <m/>
    <m/>
    <m/>
    <n v="2"/>
    <s v="4"/>
    <s v="4"/>
    <n v="0"/>
    <n v="0"/>
    <n v="0"/>
    <n v="0"/>
    <n v="0"/>
    <n v="0"/>
    <n v="12"/>
    <n v="100"/>
    <n v="12"/>
  </r>
  <r>
    <s v="UCMOnVaVjpGTfnRXkGyE1mGw"/>
    <s v="UCMOnVaVjpGTfnRXkGyE1mGw"/>
    <m/>
    <m/>
    <m/>
    <m/>
    <m/>
    <m/>
    <m/>
    <m/>
    <s v="No"/>
    <n v="175"/>
    <m/>
    <m/>
    <s v="Replied Comment"/>
    <s v="Reply"/>
    <s v="@Khrysalis That is what a president and a leader should do. The owner class who control our lives don&amp;#39;t want a leader for president. Just someone who gives them the tax breaks, cheap labor, and deregulation that they want. Nothing else matters to them."/>
    <s v="UCMOnVaVjpGTfnRXkGyE1mGw"/>
    <s v="Gengkis Khan"/>
    <s v="http://www.youtube.com/channel/UCMOnVaVjpGTfnRXkGyE1mGw"/>
    <s v="UgzZ5QK0DKYaz1xWsOp4AaABAg"/>
    <s v="L3Ob_r4yk60"/>
    <s v="https://www.youtube.com/watch?v=L3Ob_r4yk60"/>
    <s v="none"/>
    <n v="1"/>
    <x v="172"/>
    <d v="2020-03-22T17:16:55.000"/>
    <m/>
    <m/>
    <m/>
    <n v="2"/>
    <s v="4"/>
    <s v="4"/>
    <n v="0"/>
    <n v="0"/>
    <n v="2"/>
    <n v="4.3478260869565215"/>
    <n v="0"/>
    <n v="0"/>
    <n v="44"/>
    <n v="95.65217391304348"/>
    <n v="46"/>
  </r>
  <r>
    <s v="UCMOnVaVjpGTfnRXkGyE1mGw"/>
    <s v="UCjRXO-HSl5XpuF-cWvtMV_g"/>
    <m/>
    <m/>
    <m/>
    <m/>
    <m/>
    <m/>
    <m/>
    <m/>
    <s v="No"/>
    <n v="176"/>
    <m/>
    <m/>
    <s v="Commented Video"/>
    <s v="Comment"/>
    <s v="Joe Biden: &amp;quot;We need to care for each other and have empathy again&amp;quot;&lt;br /&gt;&lt;br /&gt;Also Joe Biden: Challenges a union worker to a fight&lt;br /&gt;&lt;br /&gt;Says he has no empathy for millennials&lt;br /&gt;&lt;br /&gt;Insults someone at a town hall by calling him fat&lt;br /&gt;&lt;br /&gt;Calls someone a lying dog-faced pony soldier&lt;br /&gt;&lt;br /&gt;Is the most integral Democrat for getting us into the Iraq war, wasting trillions of dollars and thousands of lives&lt;br /&gt;&lt;br /&gt;Supported a crime bill that destroyed the lives of countless black and brown people. &lt;br /&gt;&lt;br /&gt;We see what you mean Joe"/>
    <s v="UCMOnVaVjpGTfnRXkGyE1mGw"/>
    <s v="Gengkis Khan"/>
    <s v="http://www.youtube.com/channel/UCMOnVaVjpGTfnRXkGyE1mGw"/>
    <m/>
    <s v="L3Ob_r4yk60"/>
    <s v="https://www.youtube.com/watch?v=L3Ob_r4yk60"/>
    <s v="none"/>
    <n v="40"/>
    <x v="173"/>
    <d v="2020-03-22T13:39:02.000"/>
    <m/>
    <m/>
    <m/>
    <n v="1"/>
    <s v="4"/>
    <s v="1"/>
    <n v="4"/>
    <n v="3.8461538461538463"/>
    <n v="5"/>
    <n v="4.8076923076923075"/>
    <n v="0"/>
    <n v="0"/>
    <n v="95"/>
    <n v="91.34615384615384"/>
    <n v="104"/>
  </r>
  <r>
    <s v="UCpQAwMfpP9MISSUuRRIxA0A"/>
    <s v="UCEopbtSohnnWPvLmugfC_4Q"/>
    <m/>
    <m/>
    <m/>
    <m/>
    <m/>
    <m/>
    <m/>
    <m/>
    <s v="No"/>
    <n v="177"/>
    <m/>
    <m/>
    <s v="Replied Comment"/>
    <s v="Reply"/>
    <s v="Razor sharp."/>
    <s v="UCpQAwMfpP9MISSUuRRIxA0A"/>
    <s v="Liza Tanzawa"/>
    <s v="http://www.youtube.com/channel/UCpQAwMfpP9MISSUuRRIxA0A"/>
    <s v="Ugydubpaz11-kj2HDyt4AaABAg"/>
    <s v="L3Ob_r4yk60"/>
    <s v="https://www.youtube.com/watch?v=L3Ob_r4yk60"/>
    <s v="none"/>
    <n v="1"/>
    <x v="174"/>
    <d v="2020-03-23T18:49:31.000"/>
    <m/>
    <m/>
    <m/>
    <n v="1"/>
    <s v="1"/>
    <s v="1"/>
    <n v="1"/>
    <n v="50"/>
    <n v="0"/>
    <n v="0"/>
    <n v="0"/>
    <n v="0"/>
    <n v="1"/>
    <n v="50"/>
    <n v="2"/>
  </r>
  <r>
    <s v="UCEopbtSohnnWPvLmugfC_4Q"/>
    <s v="UCjRXO-HSl5XpuF-cWvtMV_g"/>
    <m/>
    <m/>
    <m/>
    <m/>
    <m/>
    <m/>
    <m/>
    <m/>
    <s v="No"/>
    <n v="178"/>
    <m/>
    <m/>
    <s v="Commented Video"/>
    <s v="Comment"/>
    <s v="Imagine whats happening with even greedier people on wall street. This is at the damn dollar store."/>
    <s v="UCEopbtSohnnWPvLmugfC_4Q"/>
    <s v="Brian Loftus"/>
    <s v="http://www.youtube.com/channel/UCEopbtSohnnWPvLmugfC_4Q"/>
    <m/>
    <s v="L3Ob_r4yk60"/>
    <s v="https://www.youtube.com/watch?v=L3Ob_r4yk60"/>
    <s v="none"/>
    <n v="52"/>
    <x v="175"/>
    <d v="2020-03-22T13:51:16.000"/>
    <m/>
    <m/>
    <m/>
    <n v="1"/>
    <s v="1"/>
    <s v="1"/>
    <n v="0"/>
    <n v="0"/>
    <n v="1"/>
    <n v="5.882352941176471"/>
    <n v="0"/>
    <n v="0"/>
    <n v="16"/>
    <n v="94.11764705882354"/>
    <n v="17"/>
  </r>
  <r>
    <s v="UCGnKP41Zozwe387d5CakiMA"/>
    <s v="UC0kbZ08xIZxYkMw1GaswkTQ"/>
    <m/>
    <m/>
    <m/>
    <m/>
    <m/>
    <m/>
    <m/>
    <m/>
    <s v="No"/>
    <n v="179"/>
    <m/>
    <m/>
    <s v="Replied Comment"/>
    <s v="Reply"/>
    <s v="@B. Greene Jesus was never their Christ to begin with. &lt;b&gt;Their  Christ&lt;/b&gt; is a made up White guy, like Santa Claus. In reality, both Jesus and St. Nicholas were brown skinned Middle Easterns"/>
    <s v="UCGnKP41Zozwe387d5CakiMA"/>
    <s v="babajohn100"/>
    <s v="http://www.youtube.com/channel/UCGnKP41Zozwe387d5CakiMA"/>
    <s v="UgxGjnt89DsFeiAT-yF4AaABAg"/>
    <s v="L3Ob_r4yk60"/>
    <s v="https://www.youtube.com/watch?v=L3Ob_r4yk60"/>
    <s v="none"/>
    <n v="0"/>
    <x v="176"/>
    <d v="2020-03-22T23:12:53.000"/>
    <m/>
    <m/>
    <m/>
    <n v="1"/>
    <s v="1"/>
    <s v="1"/>
    <n v="1"/>
    <n v="2.857142857142857"/>
    <n v="0"/>
    <n v="0"/>
    <n v="0"/>
    <n v="0"/>
    <n v="34"/>
    <n v="97.14285714285714"/>
    <n v="35"/>
  </r>
  <r>
    <s v="UCJPr1NicnL24X4c47Yh_cKA"/>
    <s v="UC0kbZ08xIZxYkMw1GaswkTQ"/>
    <m/>
    <m/>
    <m/>
    <m/>
    <m/>
    <m/>
    <m/>
    <m/>
    <s v="No"/>
    <n v="180"/>
    <m/>
    <m/>
    <s v="Replied Comment"/>
    <s v="Reply"/>
    <s v="Well we must allow Muslims the freedom of religion."/>
    <s v="UCJPr1NicnL24X4c47Yh_cKA"/>
    <s v="John Challeen"/>
    <s v="http://www.youtube.com/channel/UCJPr1NicnL24X4c47Yh_cKA"/>
    <s v="UgxGjnt89DsFeiAT-yF4AaABAg"/>
    <s v="L3Ob_r4yk60"/>
    <s v="https://www.youtube.com/watch?v=L3Ob_r4yk60"/>
    <s v="none"/>
    <n v="0"/>
    <x v="177"/>
    <d v="2020-04-13T00:32:26.000"/>
    <m/>
    <m/>
    <m/>
    <n v="1"/>
    <s v="1"/>
    <s v="1"/>
    <n v="2"/>
    <n v="22.22222222222222"/>
    <n v="0"/>
    <n v="0"/>
    <n v="0"/>
    <n v="0"/>
    <n v="7"/>
    <n v="77.77777777777777"/>
    <n v="9"/>
  </r>
  <r>
    <s v="UCWo-NV8TV7NgAoRgvvuu0Fg"/>
    <s v="UC0kbZ08xIZxYkMw1GaswkTQ"/>
    <m/>
    <m/>
    <m/>
    <m/>
    <m/>
    <m/>
    <m/>
    <m/>
    <s v="No"/>
    <n v="181"/>
    <m/>
    <m/>
    <s v="Replied Comment"/>
    <s v="Reply"/>
    <s v="olov244 “I like your Christ. But I do not like your Christians; they are so unlike your Christ” Mahatma Gandhi to an American reporter."/>
    <s v="UCWo-NV8TV7NgAoRgvvuu0Fg"/>
    <s v="B. Greene"/>
    <s v="http://www.youtube.com/channel/UCWo-NV8TV7NgAoRgvvuu0Fg"/>
    <s v="UgxGjnt89DsFeiAT-yF4AaABAg"/>
    <s v="L3Ob_r4yk60"/>
    <s v="https://www.youtube.com/watch?v=L3Ob_r4yk60"/>
    <s v="none"/>
    <n v="5"/>
    <x v="178"/>
    <d v="2020-03-22T14:06:34.000"/>
    <m/>
    <m/>
    <m/>
    <n v="1"/>
    <s v="1"/>
    <s v="1"/>
    <n v="2"/>
    <n v="8.333333333333334"/>
    <n v="0"/>
    <n v="0"/>
    <n v="0"/>
    <n v="0"/>
    <n v="22"/>
    <n v="91.66666666666667"/>
    <n v="24"/>
  </r>
  <r>
    <s v="UC0kbZ08xIZxYkMw1GaswkTQ"/>
    <s v="UCjRXO-HSl5XpuF-cWvtMV_g"/>
    <m/>
    <m/>
    <m/>
    <m/>
    <m/>
    <m/>
    <m/>
    <m/>
    <s v="No"/>
    <n v="182"/>
    <m/>
    <m/>
    <s v="Commented Video"/>
    <s v="Comment"/>
    <s v="&amp;quot;Christian nation&amp;quot; - I wish it was"/>
    <s v="UC0kbZ08xIZxYkMw1GaswkTQ"/>
    <s v="olov244"/>
    <s v="http://www.youtube.com/channel/UC0kbZ08xIZxYkMw1GaswkTQ"/>
    <m/>
    <s v="L3Ob_r4yk60"/>
    <s v="https://www.youtube.com/watch?v=L3Ob_r4yk60"/>
    <s v="none"/>
    <n v="8"/>
    <x v="179"/>
    <d v="2020-03-22T13:53:59.000"/>
    <m/>
    <m/>
    <m/>
    <n v="1"/>
    <s v="1"/>
    <s v="1"/>
    <n v="0"/>
    <n v="0"/>
    <n v="0"/>
    <n v="0"/>
    <n v="0"/>
    <n v="0"/>
    <n v="8"/>
    <n v="100"/>
    <n v="8"/>
  </r>
  <r>
    <s v="UCwLvX1xSEvRJ0HxWIRIu6-g"/>
    <s v="UCWo-NV8TV7NgAoRgvvuu0Fg"/>
    <m/>
    <m/>
    <m/>
    <m/>
    <m/>
    <m/>
    <m/>
    <m/>
    <s v="No"/>
    <n v="183"/>
    <m/>
    <m/>
    <s v="Replied Comment"/>
    <s v="Reply"/>
    <s v="@Nunnles: That is true but even state gov&amp;#39;t draw a line for the free market during a state/national emergency to not appear completely heartless but if a working class family is having a medical emergency outside such a crisis meds being $2000+ is just the market doing it&amp;#39;s thing."/>
    <s v="UCwLvX1xSEvRJ0HxWIRIu6-g"/>
    <s v="The Dynast Queen"/>
    <s v="http://www.youtube.com/channel/UCwLvX1xSEvRJ0HxWIRIu6-g"/>
    <s v="Ugx_mKqsnnJCza7CVEp4AaABAg"/>
    <s v="L3Ob_r4yk60"/>
    <s v="https://www.youtube.com/watch?v=L3Ob_r4yk60"/>
    <s v="none"/>
    <n v="0"/>
    <x v="180"/>
    <d v="2020-03-24T02:59:14.000"/>
    <m/>
    <m/>
    <m/>
    <n v="1"/>
    <s v="1"/>
    <s v="1"/>
    <n v="1"/>
    <n v="1.8518518518518519"/>
    <n v="4"/>
    <n v="7.407407407407407"/>
    <n v="0"/>
    <n v="0"/>
    <n v="49"/>
    <n v="90.74074074074075"/>
    <n v="54"/>
  </r>
  <r>
    <s v="UCWo-NV8TV7NgAoRgvvuu0Fg"/>
    <s v="UCjRXO-HSl5XpuF-cWvtMV_g"/>
    <m/>
    <m/>
    <m/>
    <m/>
    <m/>
    <m/>
    <m/>
    <m/>
    <s v="No"/>
    <n v="184"/>
    <m/>
    <m/>
    <s v="Commented Video"/>
    <s v="Comment"/>
    <s v="Price gouging during a State of emergency is illegal in most areas. Perfect representation of a Trump Humper!"/>
    <s v="UCWo-NV8TV7NgAoRgvvuu0Fg"/>
    <s v="B. Greene"/>
    <s v="http://www.youtube.com/channel/UCWo-NV8TV7NgAoRgvvuu0Fg"/>
    <m/>
    <s v="L3Ob_r4yk60"/>
    <s v="https://www.youtube.com/watch?v=L3Ob_r4yk60"/>
    <s v="none"/>
    <n v="47"/>
    <x v="181"/>
    <d v="2020-03-22T13:54:11.000"/>
    <m/>
    <m/>
    <m/>
    <n v="1"/>
    <s v="1"/>
    <s v="1"/>
    <n v="1"/>
    <n v="5.555555555555555"/>
    <n v="2"/>
    <n v="11.11111111111111"/>
    <n v="0"/>
    <n v="0"/>
    <n v="15"/>
    <n v="83.33333333333333"/>
    <n v="18"/>
  </r>
  <r>
    <s v="UCyGi1E-cVLufZHG4RugRivQ"/>
    <s v="UCIykfDLsjZByMEXDU7XqVhg"/>
    <m/>
    <m/>
    <m/>
    <m/>
    <m/>
    <m/>
    <m/>
    <m/>
    <s v="No"/>
    <n v="185"/>
    <m/>
    <m/>
    <s v="Replied Comment"/>
    <s v="Reply"/>
    <s v="BUILD THE WALL📢"/>
    <s v="UCyGi1E-cVLufZHG4RugRivQ"/>
    <s v="scowlistic"/>
    <s v="http://www.youtube.com/channel/UCyGi1E-cVLufZHG4RugRivQ"/>
    <s v="UgzaVXbA29sIERHGZfF4AaABAg"/>
    <s v="L3Ob_r4yk60"/>
    <s v="https://www.youtube.com/watch?v=L3Ob_r4yk60"/>
    <s v="none"/>
    <n v="1"/>
    <x v="182"/>
    <d v="2020-03-22T14:13:41.000"/>
    <m/>
    <m/>
    <m/>
    <n v="1"/>
    <s v="1"/>
    <s v="1"/>
    <n v="0"/>
    <n v="0"/>
    <n v="0"/>
    <n v="0"/>
    <n v="0"/>
    <n v="0"/>
    <n v="3"/>
    <n v="100"/>
    <n v="3"/>
  </r>
  <r>
    <s v="UCIykfDLsjZByMEXDU7XqVhg"/>
    <s v="UCjRXO-HSl5XpuF-cWvtMV_g"/>
    <m/>
    <m/>
    <m/>
    <m/>
    <m/>
    <m/>
    <m/>
    <m/>
    <s v="No"/>
    <n v="186"/>
    <m/>
    <m/>
    <s v="Commented Video"/>
    <s v="Comment"/>
    <s v="🔐 Florida up, do not let any people leave Florida."/>
    <s v="UCIykfDLsjZByMEXDU7XqVhg"/>
    <s v="doomstar 24"/>
    <s v="http://www.youtube.com/channel/UCIykfDLsjZByMEXDU7XqVhg"/>
    <m/>
    <s v="L3Ob_r4yk60"/>
    <s v="https://www.youtube.com/watch?v=L3Ob_r4yk60"/>
    <s v="none"/>
    <n v="2"/>
    <x v="183"/>
    <d v="2020-03-22T14:04:46.000"/>
    <m/>
    <m/>
    <m/>
    <n v="1"/>
    <s v="1"/>
    <s v="1"/>
    <n v="0"/>
    <n v="0"/>
    <n v="0"/>
    <n v="0"/>
    <n v="0"/>
    <n v="0"/>
    <n v="9"/>
    <n v="100"/>
    <n v="9"/>
  </r>
  <r>
    <s v="UCIykfDLsjZByMEXDU7XqVhg"/>
    <s v="UCNmDmaEx2Sj6Nmsa4aWyYYQ"/>
    <m/>
    <m/>
    <m/>
    <m/>
    <m/>
    <m/>
    <m/>
    <m/>
    <s v="No"/>
    <n v="187"/>
    <m/>
    <m/>
    <s v="Replied Comment"/>
    <s v="Reply"/>
    <s v="Sean Moroney I wish I was back in Ireland!"/>
    <s v="UCIykfDLsjZByMEXDU7XqVhg"/>
    <s v="doomstar 24"/>
    <s v="http://www.youtube.com/channel/UCIykfDLsjZByMEXDU7XqVhg"/>
    <s v="UgzEhUlTg2OVVUpzMvV4AaABAg"/>
    <s v="L3Ob_r4yk60"/>
    <s v="https://www.youtube.com/watch?v=L3Ob_r4yk60"/>
    <s v="none"/>
    <n v="0"/>
    <x v="184"/>
    <d v="2020-03-22T14:15:00.000"/>
    <m/>
    <m/>
    <m/>
    <n v="1"/>
    <s v="1"/>
    <s v="1"/>
    <n v="0"/>
    <n v="0"/>
    <n v="0"/>
    <n v="0"/>
    <n v="0"/>
    <n v="0"/>
    <n v="9"/>
    <n v="100"/>
    <n v="9"/>
  </r>
  <r>
    <s v="UCNmDmaEx2Sj6Nmsa4aWyYYQ"/>
    <s v="UCNmDmaEx2Sj6Nmsa4aWyYYQ"/>
    <m/>
    <m/>
    <m/>
    <m/>
    <m/>
    <m/>
    <m/>
    <m/>
    <s v="No"/>
    <n v="188"/>
    <m/>
    <m/>
    <s v="Replied Comment"/>
    <s v="Reply"/>
    <s v="@doomstar 24 the situation isn&amp;#39;t ideal here but better organized than the States."/>
    <s v="UCNmDmaEx2Sj6Nmsa4aWyYYQ"/>
    <s v="Sean Moroney"/>
    <s v="http://www.youtube.com/channel/UCNmDmaEx2Sj6Nmsa4aWyYYQ"/>
    <s v="UgzEhUlTg2OVVUpzMvV4AaABAg"/>
    <s v="L3Ob_r4yk60"/>
    <s v="https://www.youtube.com/watch?v=L3Ob_r4yk60"/>
    <s v="none"/>
    <n v="1"/>
    <x v="185"/>
    <d v="2020-03-22T14:22:03.000"/>
    <m/>
    <m/>
    <m/>
    <n v="1"/>
    <s v="1"/>
    <s v="1"/>
    <n v="2"/>
    <n v="13.333333333333334"/>
    <n v="0"/>
    <n v="0"/>
    <n v="0"/>
    <n v="0"/>
    <n v="13"/>
    <n v="86.66666666666667"/>
    <n v="15"/>
  </r>
  <r>
    <s v="UCNmDmaEx2Sj6Nmsa4aWyYYQ"/>
    <s v="UCjRXO-HSl5XpuF-cWvtMV_g"/>
    <m/>
    <m/>
    <m/>
    <m/>
    <m/>
    <m/>
    <m/>
    <m/>
    <s v="No"/>
    <n v="189"/>
    <m/>
    <m/>
    <s v="Commented Video"/>
    <s v="Comment"/>
    <s v="In Ireland, you are only allowed buy 2 packs per person. Exactly for this reason."/>
    <s v="UCNmDmaEx2Sj6Nmsa4aWyYYQ"/>
    <s v="Sean Moroney"/>
    <s v="http://www.youtube.com/channel/UCNmDmaEx2Sj6Nmsa4aWyYYQ"/>
    <m/>
    <s v="L3Ob_r4yk60"/>
    <s v="https://www.youtube.com/watch?v=L3Ob_r4yk60"/>
    <s v="none"/>
    <n v="2"/>
    <x v="186"/>
    <d v="2020-03-22T14:12:32.000"/>
    <m/>
    <m/>
    <m/>
    <n v="1"/>
    <s v="1"/>
    <s v="1"/>
    <n v="0"/>
    <n v="0"/>
    <n v="0"/>
    <n v="0"/>
    <n v="0"/>
    <n v="0"/>
    <n v="15"/>
    <n v="100"/>
    <n v="15"/>
  </r>
  <r>
    <s v="UCbTEPPnor25BJIqAb_ZmhAA"/>
    <s v="UCwnsrEVkVOvGMc934DSFRXg"/>
    <m/>
    <m/>
    <m/>
    <m/>
    <m/>
    <m/>
    <m/>
    <m/>
    <s v="No"/>
    <n v="190"/>
    <m/>
    <m/>
    <s v="Replied Comment"/>
    <s v="Reply"/>
    <s v="I&amp;#39;ve stopped using the B words and the C word. I only use the A word so as not to offend😀."/>
    <s v="UCbTEPPnor25BJIqAb_ZmhAA"/>
    <s v="Keith Warner"/>
    <s v="http://www.youtube.com/channel/UCbTEPPnor25BJIqAb_ZmhAA"/>
    <s v="Ugxp5l3KE_qROgOys454AaABAg"/>
    <s v="L3Ob_r4yk60"/>
    <s v="https://www.youtube.com/watch?v=L3Ob_r4yk60"/>
    <s v="none"/>
    <n v="0"/>
    <x v="187"/>
    <d v="2020-03-22T17:08:42.000"/>
    <m/>
    <m/>
    <m/>
    <n v="1"/>
    <s v="9"/>
    <s v="9"/>
    <n v="0"/>
    <n v="0"/>
    <n v="1"/>
    <n v="4.3478260869565215"/>
    <n v="0"/>
    <n v="0"/>
    <n v="22"/>
    <n v="95.65217391304348"/>
    <n v="23"/>
  </r>
  <r>
    <s v="UCXMh2hN11YUaC8RvaYWFn4g"/>
    <s v="UCwnsrEVkVOvGMc934DSFRXg"/>
    <m/>
    <m/>
    <m/>
    <m/>
    <m/>
    <m/>
    <m/>
    <m/>
    <s v="No"/>
    <n v="191"/>
    <m/>
    <m/>
    <s v="Replied Comment"/>
    <s v="Reply"/>
    <s v="Keith Warner that’s a good rule. Anyone can be an asshole!"/>
    <s v="UCXMh2hN11YUaC8RvaYWFn4g"/>
    <s v="Paddle Duck"/>
    <s v="http://www.youtube.com/channel/UCXMh2hN11YUaC8RvaYWFn4g"/>
    <s v="Ugxp5l3KE_qROgOys454AaABAg"/>
    <s v="L3Ob_r4yk60"/>
    <s v="https://www.youtube.com/watch?v=L3Ob_r4yk60"/>
    <s v="none"/>
    <n v="0"/>
    <x v="188"/>
    <d v="2020-03-22T18:45:03.000"/>
    <m/>
    <m/>
    <m/>
    <n v="1"/>
    <s v="9"/>
    <s v="9"/>
    <n v="1"/>
    <n v="8.333333333333334"/>
    <n v="0"/>
    <n v="0"/>
    <n v="0"/>
    <n v="0"/>
    <n v="11"/>
    <n v="91.66666666666667"/>
    <n v="12"/>
  </r>
  <r>
    <s v="UCwnsrEVkVOvGMc934DSFRXg"/>
    <s v="UCwnsrEVkVOvGMc934DSFRXg"/>
    <m/>
    <m/>
    <m/>
    <m/>
    <m/>
    <m/>
    <m/>
    <m/>
    <s v="No"/>
    <n v="192"/>
    <m/>
    <m/>
    <s v="Replied Comment"/>
    <s v="Reply"/>
    <s v="@Paddle Duck omg, I love it!👍😄"/>
    <s v="UCwnsrEVkVOvGMc934DSFRXg"/>
    <s v="Lisa Navarro"/>
    <s v="http://www.youtube.com/channel/UCwnsrEVkVOvGMc934DSFRXg"/>
    <s v="Ugxp5l3KE_qROgOys454AaABAg"/>
    <s v="L3Ob_r4yk60"/>
    <s v="https://www.youtube.com/watch?v=L3Ob_r4yk60"/>
    <s v="none"/>
    <n v="0"/>
    <x v="189"/>
    <d v="2020-03-22T18:59:27.000"/>
    <m/>
    <m/>
    <m/>
    <n v="2"/>
    <s v="9"/>
    <s v="9"/>
    <n v="1"/>
    <n v="16.666666666666668"/>
    <n v="0"/>
    <n v="0"/>
    <n v="0"/>
    <n v="0"/>
    <n v="5"/>
    <n v="83.33333333333333"/>
    <n v="6"/>
  </r>
  <r>
    <s v="UCwnsrEVkVOvGMc934DSFRXg"/>
    <s v="UCwnsrEVkVOvGMc934DSFRXg"/>
    <m/>
    <m/>
    <m/>
    <m/>
    <m/>
    <m/>
    <m/>
    <m/>
    <s v="No"/>
    <n v="193"/>
    <m/>
    <m/>
    <s v="Replied Comment"/>
    <s v="Reply"/>
    <s v="@Keith Warner I hear you and agree.  But, damn, that woman pissed me off!😄"/>
    <s v="UCwnsrEVkVOvGMc934DSFRXg"/>
    <s v="Lisa Navarro"/>
    <s v="http://www.youtube.com/channel/UCwnsrEVkVOvGMc934DSFRXg"/>
    <s v="Ugxp5l3KE_qROgOys454AaABAg"/>
    <s v="L3Ob_r4yk60"/>
    <s v="https://www.youtube.com/watch?v=L3Ob_r4yk60"/>
    <s v="none"/>
    <n v="0"/>
    <x v="190"/>
    <d v="2020-03-22T19:01:35.000"/>
    <m/>
    <m/>
    <m/>
    <n v="2"/>
    <s v="9"/>
    <s v="9"/>
    <n v="0"/>
    <n v="0"/>
    <n v="1"/>
    <n v="7.142857142857143"/>
    <n v="0"/>
    <n v="0"/>
    <n v="13"/>
    <n v="92.85714285714286"/>
    <n v="14"/>
  </r>
  <r>
    <s v="UCwnsrEVkVOvGMc934DSFRXg"/>
    <s v="UCjRXO-HSl5XpuF-cWvtMV_g"/>
    <m/>
    <m/>
    <m/>
    <m/>
    <m/>
    <m/>
    <m/>
    <m/>
    <s v="No"/>
    <n v="194"/>
    <m/>
    <m/>
    <s v="Commented Video"/>
    <s v="Comment"/>
    <s v="That woman packing her car with endless boxes is nothing but a four-letter word that begins with a C"/>
    <s v="UCwnsrEVkVOvGMc934DSFRXg"/>
    <s v="Lisa Navarro"/>
    <s v="http://www.youtube.com/channel/UCwnsrEVkVOvGMc934DSFRXg"/>
    <m/>
    <s v="L3Ob_r4yk60"/>
    <s v="https://www.youtube.com/watch?v=L3Ob_r4yk60"/>
    <s v="none"/>
    <n v="2"/>
    <x v="191"/>
    <d v="2020-03-22T14:34:56.000"/>
    <m/>
    <m/>
    <m/>
    <n v="1"/>
    <s v="9"/>
    <s v="1"/>
    <n v="0"/>
    <n v="0"/>
    <n v="0"/>
    <n v="0"/>
    <n v="0"/>
    <n v="0"/>
    <n v="20"/>
    <n v="100"/>
    <n v="20"/>
  </r>
  <r>
    <s v="UCXMh2hN11YUaC8RvaYWFn4g"/>
    <s v="UCq2ezHzepWc21jymDdA6SfQ"/>
    <m/>
    <m/>
    <m/>
    <m/>
    <m/>
    <m/>
    <m/>
    <m/>
    <s v="No"/>
    <n v="195"/>
    <m/>
    <m/>
    <s v="Replied Comment"/>
    <s v="Reply"/>
    <s v="Austin Zappas that’d be ok if someone’s a libertarian, right??😂"/>
    <s v="UCXMh2hN11YUaC8RvaYWFn4g"/>
    <s v="Paddle Duck"/>
    <s v="http://www.youtube.com/channel/UCXMh2hN11YUaC8RvaYWFn4g"/>
    <s v="UgyTrEE55ecSjEANfzJ4AaABAg"/>
    <s v="L3Ob_r4yk60"/>
    <s v="https://www.youtube.com/watch?v=L3Ob_r4yk60"/>
    <s v="none"/>
    <n v="0"/>
    <x v="192"/>
    <d v="2020-03-22T18:35:31.000"/>
    <m/>
    <m/>
    <m/>
    <n v="1"/>
    <s v="9"/>
    <s v="9"/>
    <n v="1"/>
    <n v="8.333333333333334"/>
    <n v="0"/>
    <n v="0"/>
    <n v="0"/>
    <n v="0"/>
    <n v="11"/>
    <n v="91.66666666666667"/>
    <n v="12"/>
  </r>
  <r>
    <s v="UCq2ezHzepWc21jymDdA6SfQ"/>
    <s v="UCjRXO-HSl5XpuF-cWvtMV_g"/>
    <m/>
    <m/>
    <m/>
    <m/>
    <m/>
    <m/>
    <m/>
    <m/>
    <s v="No"/>
    <n v="196"/>
    <m/>
    <m/>
    <s v="Commented Video"/>
    <s v="Comment"/>
    <s v="Not that I would ever do it, but how long before someone rolls up on that lady and straight up robs her of everything she has? Tick tick tick... ..tick tick tick"/>
    <s v="UCq2ezHzepWc21jymDdA6SfQ"/>
    <s v="Austin Zappas"/>
    <s v="http://www.youtube.com/channel/UCq2ezHzepWc21jymDdA6SfQ"/>
    <m/>
    <s v="L3Ob_r4yk60"/>
    <s v="https://www.youtube.com/watch?v=L3Ob_r4yk60"/>
    <s v="none"/>
    <n v="1"/>
    <x v="103"/>
    <d v="2020-03-22T16:50:28.000"/>
    <m/>
    <m/>
    <m/>
    <n v="1"/>
    <s v="9"/>
    <s v="1"/>
    <n v="0"/>
    <n v="0"/>
    <n v="0"/>
    <n v="0"/>
    <n v="0"/>
    <n v="0"/>
    <n v="32"/>
    <n v="100"/>
    <n v="32"/>
  </r>
  <r>
    <s v="UCKPAlKUaoq6_h3rj8AyguRg"/>
    <s v="UCjRXO-HSl5XpuF-cWvtMV_g"/>
    <m/>
    <m/>
    <m/>
    <m/>
    <m/>
    <m/>
    <m/>
    <m/>
    <s v="No"/>
    <n v="197"/>
    <m/>
    <m/>
    <s v="Commented Video"/>
    <s v="Comment"/>
    <s v="Anyone else notice it&amp;#39;s always trump supporters????"/>
    <s v="UCKPAlKUaoq6_h3rj8AyguRg"/>
    <s v="BOUGHT BOT"/>
    <s v="http://www.youtube.com/channel/UCKPAlKUaoq6_h3rj8AyguRg"/>
    <m/>
    <s v="L3Ob_r4yk60"/>
    <s v="https://www.youtube.com/watch?v=L3Ob_r4yk60"/>
    <s v="none"/>
    <n v="0"/>
    <x v="193"/>
    <d v="2020-03-23T14:51:14.000"/>
    <m/>
    <m/>
    <m/>
    <n v="1"/>
    <s v="1"/>
    <s v="1"/>
    <n v="0"/>
    <n v="0"/>
    <n v="0"/>
    <n v="0"/>
    <n v="0"/>
    <n v="0"/>
    <n v="9"/>
    <n v="100"/>
    <n v="9"/>
  </r>
  <r>
    <s v="UCKPAlKUaoq6_h3rj8AyguRg"/>
    <s v="UCKPAlKUaoq6_h3rj8AyguRg"/>
    <m/>
    <m/>
    <m/>
    <m/>
    <m/>
    <m/>
    <m/>
    <m/>
    <s v="No"/>
    <n v="198"/>
    <m/>
    <m/>
    <s v="Replied Comment"/>
    <s v="Reply"/>
    <s v="Also, I made this comment before the woman mentioned it in the video......some shit right???"/>
    <s v="UCKPAlKUaoq6_h3rj8AyguRg"/>
    <s v="BOUGHT BOT"/>
    <s v="http://www.youtube.com/channel/UCKPAlKUaoq6_h3rj8AyguRg"/>
    <s v="UgzRODoYmxyLA1Ps2Sp4AaABAg"/>
    <s v="L3Ob_r4yk60"/>
    <s v="https://www.youtube.com/watch?v=L3Ob_r4yk60"/>
    <s v="none"/>
    <n v="0"/>
    <x v="194"/>
    <d v="2020-03-23T14:52:45.000"/>
    <m/>
    <m/>
    <m/>
    <n v="1"/>
    <s v="1"/>
    <s v="1"/>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5"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22"/>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3"/>
    <field x="42"/>
    <field x="25"/>
  </rowFields>
  <rowItems count="10">
    <i>
      <x v="1"/>
    </i>
    <i r="1">
      <x v="3"/>
    </i>
    <i r="2">
      <x v="82"/>
    </i>
    <i r="2">
      <x v="83"/>
    </i>
    <i r="2">
      <x v="84"/>
    </i>
    <i r="2">
      <x v="87"/>
    </i>
    <i r="1">
      <x v="4"/>
    </i>
    <i r="2">
      <x v="99"/>
    </i>
    <i r="2">
      <x v="104"/>
    </i>
    <i t="grand">
      <x/>
    </i>
  </rowItems>
  <colItems count="1">
    <i/>
  </colItems>
  <dataFields count="1">
    <dataField name="Count of Publishet At" fld="2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P198" totalsRowShown="0" headerRowDxfId="345" dataDxfId="305">
  <autoFilter ref="A2:AP198"/>
  <tableColumns count="42">
    <tableColumn id="1" name="Vertex 1" dataDxfId="290"/>
    <tableColumn id="2" name="Vertex 2" dataDxfId="288"/>
    <tableColumn id="3" name="Color" dataDxfId="289"/>
    <tableColumn id="4" name="Width" dataDxfId="314"/>
    <tableColumn id="11" name="Style" dataDxfId="313"/>
    <tableColumn id="5" name="Opacity" dataDxfId="312"/>
    <tableColumn id="6" name="Visibility" dataDxfId="311"/>
    <tableColumn id="10" name="Label" dataDxfId="310"/>
    <tableColumn id="12" name="Label Text Color" dataDxfId="309"/>
    <tableColumn id="13" name="Label Font Size" dataDxfId="308"/>
    <tableColumn id="14" name="Reciprocated?" dataDxfId="223"/>
    <tableColumn id="7" name="ID" dataDxfId="307"/>
    <tableColumn id="9" name="Dynamic Filter" dataDxfId="306"/>
    <tableColumn id="8" name="Add Your Own Columns Here" dataDxfId="287"/>
    <tableColumn id="15" name="Relationship" dataDxfId="286"/>
    <tableColumn id="16" name="Comment Type" dataDxfId="285"/>
    <tableColumn id="17" name="Comment" dataDxfId="284"/>
    <tableColumn id="18" name="Author Channel ID" dataDxfId="283"/>
    <tableColumn id="19" name="Author Display Name" dataDxfId="282"/>
    <tableColumn id="20" name="Author Channel URL" dataDxfId="281"/>
    <tableColumn id="21" name="Parent ID" dataDxfId="280"/>
    <tableColumn id="22" name="Video ID" dataDxfId="279"/>
    <tableColumn id="23" name="Video URL" dataDxfId="278"/>
    <tableColumn id="24" name="Viewer Rating" dataDxfId="277"/>
    <tableColumn id="25" name="Like Count" dataDxfId="276"/>
    <tableColumn id="26" name="Publishet At" dataDxfId="275"/>
    <tableColumn id="27" name="Updated At" dataDxfId="274"/>
    <tableColumn id="28" name="URLs In Comment" dataDxfId="273"/>
    <tableColumn id="29" name="Domains In Comment" dataDxfId="272"/>
    <tableColumn id="30" name="Hashtags In Comment" dataDxfId="271"/>
    <tableColumn id="31" name="Edge Weight" dataDxfId="239"/>
    <tableColumn id="32" name="Vertex 1 Group" dataDxfId="238">
      <calculatedColumnFormula>REPLACE(INDEX(GroupVertices[Group], MATCH(Edges[[#This Row],[Vertex 1]],GroupVertices[Vertex],0)),1,1,"")</calculatedColumnFormula>
    </tableColumn>
    <tableColumn id="33" name="Vertex 2 Group" dataDxfId="199">
      <calculatedColumnFormula>REPLACE(INDEX(GroupVertices[Group], MATCH(Edges[[#This Row],[Vertex 2]],GroupVertices[Vertex],0)),1,1,"")</calculatedColumnFormula>
    </tableColumn>
    <tableColumn id="34" name="Sentiment List #1: List1 Word Count" dataDxfId="198"/>
    <tableColumn id="35" name="Sentiment List #1: List1 Word Percentage (%)" dataDxfId="197"/>
    <tableColumn id="36" name="Sentiment List #2: List2 Word Count" dataDxfId="196"/>
    <tableColumn id="37" name="Sentiment List #2: List2 Word Percentage (%)" dataDxfId="195"/>
    <tableColumn id="38" name="Sentiment List #3: List3 Word Count" dataDxfId="194"/>
    <tableColumn id="39" name="Sentiment List #3: List3 Word Percentage (%)" dataDxfId="193"/>
    <tableColumn id="40" name="Non-categorized Word Count" dataDxfId="192"/>
    <tableColumn id="41" name="Non-categorized Word Percentage (%)" dataDxfId="191"/>
    <tableColumn id="42" name="Edge Content Word Count" dataDxfId="1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2" name="Words" displayName="Words" ref="A1:G539" totalsRowShown="0" headerRowDxfId="222" dataDxfId="221">
  <autoFilter ref="A1:G539"/>
  <tableColumns count="7">
    <tableColumn id="1" name="Word" dataDxfId="220"/>
    <tableColumn id="2" name="Count" dataDxfId="219"/>
    <tableColumn id="3" name="Salience" dataDxfId="218"/>
    <tableColumn id="4" name="Group" dataDxfId="217"/>
    <tableColumn id="5" name="Word on Sentiment List #1: List1" dataDxfId="216"/>
    <tableColumn id="6" name="Word on Sentiment List #2: List2" dataDxfId="215"/>
    <tableColumn id="7" name="Word on Sentiment List #3: List3" dataDxfId="214"/>
  </tableColumns>
  <tableStyleInfo name="NodeXL Table" showFirstColumn="0" showLastColumn="0" showRowStripes="1" showColumnStripes="0"/>
</table>
</file>

<file path=xl/tables/table12.xml><?xml version="1.0" encoding="utf-8"?>
<table xmlns="http://schemas.openxmlformats.org/spreadsheetml/2006/main" id="23" name="WordPairs" displayName="WordPairs" ref="A1:L77" totalsRowShown="0" headerRowDxfId="213" dataDxfId="212">
  <autoFilter ref="A1:L77"/>
  <tableColumns count="12">
    <tableColumn id="1" name="Word 1" dataDxfId="211"/>
    <tableColumn id="2" name="Word 2" dataDxfId="210"/>
    <tableColumn id="3" name="Count" dataDxfId="209"/>
    <tableColumn id="4" name="Salience" dataDxfId="208"/>
    <tableColumn id="5" name="Mutual Information" dataDxfId="207"/>
    <tableColumn id="6" name="Group" dataDxfId="206"/>
    <tableColumn id="7" name="Word1 on Sentiment List #1: List1" dataDxfId="205"/>
    <tableColumn id="8" name="Word1 on Sentiment List #2: List2" dataDxfId="204"/>
    <tableColumn id="9" name="Word1 on Sentiment List #3: List3" dataDxfId="203"/>
    <tableColumn id="10" name="Word2 on Sentiment List #1: List1" dataDxfId="202"/>
    <tableColumn id="11" name="Word2 on Sentiment List #2: List2" dataDxfId="201"/>
    <tableColumn id="12" name="Word2 on Sentiment List #3: List3" dataDxfId="2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2" totalsRowShown="0" headerRowDxfId="318" dataDxfId="317">
  <autoFilter ref="A2:C32"/>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316" dataDxfId="315">
  <autoFilter ref="A1:B7"/>
  <tableColumns count="2">
    <tableColumn id="1" name="Key" dataDxfId="153"/>
    <tableColumn id="2" name="Value" dataDxfId="152"/>
  </tableColumns>
  <tableStyleInfo name="NodeXL Table" showFirstColumn="0" showLastColumn="0" showRowStripes="1" showColumnStripes="0"/>
</table>
</file>

<file path=xl/tables/table15.xml><?xml version="1.0" encoding="utf-8"?>
<table xmlns="http://schemas.openxmlformats.org/spreadsheetml/2006/main" id="24"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6.xml><?xml version="1.0" encoding="utf-8"?>
<table xmlns="http://schemas.openxmlformats.org/spreadsheetml/2006/main" id="25" name="NetworkTopItems_1" displayName="NetworkTopItems_1" ref="A1:T2" totalsRowShown="0" headerRowDxfId="151" dataDxfId="150">
  <autoFilter ref="A1:T2"/>
  <tableColumns count="20">
    <tableColumn id="1" name="Top URLs In Comment in Entire Graph" dataDxfId="149"/>
    <tableColumn id="2" name="Entire Graph Count" dataDxfId="148"/>
    <tableColumn id="3" name="Top URLs In Comment in G1" dataDxfId="147"/>
    <tableColumn id="4" name="G1 Count" dataDxfId="146"/>
    <tableColumn id="5" name="Top URLs In Comment in G2" dataDxfId="145"/>
    <tableColumn id="6" name="G2 Count" dataDxfId="144"/>
    <tableColumn id="7" name="Top URLs In Comment in G3" dataDxfId="143"/>
    <tableColumn id="8" name="G3 Count" dataDxfId="142"/>
    <tableColumn id="9" name="Top URLs In Comment in G4" dataDxfId="141"/>
    <tableColumn id="10" name="G4 Count" dataDxfId="140"/>
    <tableColumn id="11" name="Top URLs In Comment in G5" dataDxfId="139"/>
    <tableColumn id="12" name="G5 Count" dataDxfId="138"/>
    <tableColumn id="13" name="Top URLs In Comment in G6" dataDxfId="137"/>
    <tableColumn id="14" name="G6 Count" dataDxfId="136"/>
    <tableColumn id="15" name="Top URLs In Comment in G7" dataDxfId="135"/>
    <tableColumn id="16" name="G7 Count" dataDxfId="134"/>
    <tableColumn id="17" name="Top URLs In Comment in G8" dataDxfId="133"/>
    <tableColumn id="18" name="G8 Count" dataDxfId="132"/>
    <tableColumn id="19" name="Top URLs In Comment in G9" dataDxfId="131"/>
    <tableColumn id="20" name="G9 Count" dataDxfId="130"/>
  </tableColumns>
  <tableStyleInfo name="NodeXL Table" showFirstColumn="0" showLastColumn="0" showRowStripes="1" showColumnStripes="0"/>
</table>
</file>

<file path=xl/tables/table17.xml><?xml version="1.0" encoding="utf-8"?>
<table xmlns="http://schemas.openxmlformats.org/spreadsheetml/2006/main" id="26" name="NetworkTopItems_2" displayName="NetworkTopItems_2" ref="A4:T5" totalsRowShown="0" headerRowDxfId="128" dataDxfId="127">
  <autoFilter ref="A4:T5"/>
  <tableColumns count="20">
    <tableColumn id="1" name="Top Domains In Comment in Entire Graph" dataDxfId="126"/>
    <tableColumn id="2" name="Entire Graph Count" dataDxfId="125"/>
    <tableColumn id="3" name="Top Domains In Comment in G1" dataDxfId="124"/>
    <tableColumn id="4" name="G1 Count" dataDxfId="123"/>
    <tableColumn id="5" name="Top Domains In Comment in G2" dataDxfId="122"/>
    <tableColumn id="6" name="G2 Count" dataDxfId="121"/>
    <tableColumn id="7" name="Top Domains In Comment in G3" dataDxfId="120"/>
    <tableColumn id="8" name="G3 Count" dataDxfId="119"/>
    <tableColumn id="9" name="Top Domains In Comment in G4" dataDxfId="118"/>
    <tableColumn id="10" name="G4 Count" dataDxfId="117"/>
    <tableColumn id="11" name="Top Domains In Comment in G5" dataDxfId="116"/>
    <tableColumn id="12" name="G5 Count" dataDxfId="115"/>
    <tableColumn id="13" name="Top Domains In Comment in G6" dataDxfId="114"/>
    <tableColumn id="14" name="G6 Count" dataDxfId="113"/>
    <tableColumn id="15" name="Top Domains In Comment in G7" dataDxfId="112"/>
    <tableColumn id="16" name="G7 Count" dataDxfId="111"/>
    <tableColumn id="17" name="Top Domains In Comment in G8" dataDxfId="110"/>
    <tableColumn id="18" name="G8 Count" dataDxfId="109"/>
    <tableColumn id="19" name="Top Domains In Comment in G9" dataDxfId="108"/>
    <tableColumn id="20" name="G9 Count" dataDxfId="107"/>
  </tableColumns>
  <tableStyleInfo name="NodeXL Table" showFirstColumn="0" showLastColumn="0" showRowStripes="1" showColumnStripes="0"/>
</table>
</file>

<file path=xl/tables/table18.xml><?xml version="1.0" encoding="utf-8"?>
<table xmlns="http://schemas.openxmlformats.org/spreadsheetml/2006/main" id="27" name="NetworkTopItems_3" displayName="NetworkTopItems_3" ref="A7:T8" totalsRowShown="0" headerRowDxfId="105" dataDxfId="104">
  <autoFilter ref="A7:T8"/>
  <tableColumns count="20">
    <tableColumn id="1" name="Top Hashtags In Comment in Entire Graph" dataDxfId="103"/>
    <tableColumn id="2" name="Entire Graph Count" dataDxfId="102"/>
    <tableColumn id="3" name="Top Hashtags In Comment in G1" dataDxfId="101"/>
    <tableColumn id="4" name="G1 Count" dataDxfId="100"/>
    <tableColumn id="5" name="Top Hashtags In Comment in G2" dataDxfId="99"/>
    <tableColumn id="6" name="G2 Count" dataDxfId="98"/>
    <tableColumn id="7" name="Top Hashtags In Comment in G3" dataDxfId="97"/>
    <tableColumn id="8" name="G3 Count" dataDxfId="96"/>
    <tableColumn id="9" name="Top Hashtags In Comment in G4" dataDxfId="95"/>
    <tableColumn id="10" name="G4 Count" dataDxfId="94"/>
    <tableColumn id="11" name="Top Hashtags In Comment in G5" dataDxfId="93"/>
    <tableColumn id="12" name="G5 Count" dataDxfId="92"/>
    <tableColumn id="13" name="Top Hashtags In Comment in G6" dataDxfId="91"/>
    <tableColumn id="14" name="G6 Count" dataDxfId="90"/>
    <tableColumn id="15" name="Top Hashtags In Comment in G7" dataDxfId="89"/>
    <tableColumn id="16" name="G7 Count" dataDxfId="88"/>
    <tableColumn id="17" name="Top Hashtags In Comment in G8" dataDxfId="87"/>
    <tableColumn id="18" name="G8 Count" dataDxfId="86"/>
    <tableColumn id="19" name="Top Hashtags In Comment in G9" dataDxfId="85"/>
    <tableColumn id="20" name="G9 Count" dataDxfId="84"/>
  </tableColumns>
  <tableStyleInfo name="NodeXL Table" showFirstColumn="0" showLastColumn="0" showRowStripes="1" showColumnStripes="0"/>
</table>
</file>

<file path=xl/tables/table19.xml><?xml version="1.0" encoding="utf-8"?>
<table xmlns="http://schemas.openxmlformats.org/spreadsheetml/2006/main" id="28" name="NetworkTopItems_4" displayName="NetworkTopItems_4" ref="A10:T12" totalsRowShown="0" headerRowDxfId="82" dataDxfId="81">
  <autoFilter ref="A10:T12"/>
  <tableColumns count="20">
    <tableColumn id="1" name="Top Video URL in Entire Graph" dataDxfId="80"/>
    <tableColumn id="2" name="Entire Graph Count" dataDxfId="79"/>
    <tableColumn id="3" name="Top Video URL in G1" dataDxfId="78"/>
    <tableColumn id="4" name="G1 Count" dataDxfId="77"/>
    <tableColumn id="5" name="Top Video URL in G2" dataDxfId="76"/>
    <tableColumn id="6" name="G2 Count" dataDxfId="75"/>
    <tableColumn id="7" name="Top Video URL in G3" dataDxfId="74"/>
    <tableColumn id="8" name="G3 Count" dataDxfId="73"/>
    <tableColumn id="9" name="Top Video URL in G4" dataDxfId="72"/>
    <tableColumn id="10" name="G4 Count" dataDxfId="71"/>
    <tableColumn id="11" name="Top Video URL in G5" dataDxfId="70"/>
    <tableColumn id="12" name="G5 Count" dataDxfId="69"/>
    <tableColumn id="13" name="Top Video URL in G6" dataDxfId="68"/>
    <tableColumn id="14" name="G6 Count" dataDxfId="67"/>
    <tableColumn id="15" name="Top Video URL in G7" dataDxfId="66"/>
    <tableColumn id="16" name="G7 Count" dataDxfId="65"/>
    <tableColumn id="17" name="Top Video URL in G8" dataDxfId="64"/>
    <tableColumn id="18" name="G8 Count" dataDxfId="63"/>
    <tableColumn id="19" name="Top Video URL in G9" dataDxfId="62"/>
    <tableColumn id="20" name="G9 Count" dataDxfId="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113" totalsRowShown="0" headerRowDxfId="344" dataDxfId="291">
  <autoFilter ref="A2:BP113"/>
  <tableColumns count="68">
    <tableColumn id="1" name="Vertex" dataDxfId="304"/>
    <tableColumn id="2" name="Color" dataDxfId="303"/>
    <tableColumn id="5" name="Shape" dataDxfId="302"/>
    <tableColumn id="6" name="Size" dataDxfId="301"/>
    <tableColumn id="4" name="Opacity" dataDxfId="252"/>
    <tableColumn id="7" name="Image File" dataDxfId="250"/>
    <tableColumn id="3" name="Visibility" dataDxfId="251"/>
    <tableColumn id="10" name="Label" dataDxfId="300"/>
    <tableColumn id="16" name="Label Fill Color" dataDxfId="299"/>
    <tableColumn id="9" name="Label Position" dataDxfId="270"/>
    <tableColumn id="8" name="Tooltip" dataDxfId="268"/>
    <tableColumn id="18" name="Layout Order" dataDxfId="269"/>
    <tableColumn id="13" name="X" dataDxfId="298"/>
    <tableColumn id="14" name="Y" dataDxfId="297"/>
    <tableColumn id="12" name="Locked?" dataDxfId="296"/>
    <tableColumn id="19" name="Polar R" dataDxfId="295"/>
    <tableColumn id="20" name="Polar Angle" dataDxfId="294"/>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293"/>
    <tableColumn id="28" name="Dynamic Filter" dataDxfId="292"/>
    <tableColumn id="17" name="Add Your Own Columns Here" dataDxfId="267"/>
    <tableColumn id="30" name="Title" dataDxfId="266"/>
    <tableColumn id="31" name="Description" dataDxfId="265"/>
    <tableColumn id="32" name="Author Channel ID" dataDxfId="264"/>
    <tableColumn id="33" name="Author Display Name" dataDxfId="263"/>
    <tableColumn id="34" name="Author Channel URL" dataDxfId="262"/>
    <tableColumn id="35" name="Custom URL" dataDxfId="261"/>
    <tableColumn id="36" name="Published At" dataDxfId="260"/>
    <tableColumn id="37" name="Thumbnail" dataDxfId="259"/>
    <tableColumn id="38" name="View Count" dataDxfId="258"/>
    <tableColumn id="39" name="Comment Count" dataDxfId="257"/>
    <tableColumn id="40" name="Subscriber Count" dataDxfId="256"/>
    <tableColumn id="41" name="Hidden Subscriber Count" dataDxfId="255"/>
    <tableColumn id="42" name="Video Count" dataDxfId="254"/>
    <tableColumn id="43" name="Content Owner" dataDxfId="253"/>
    <tableColumn id="44" name="Time Linked" dataDxfId="249"/>
    <tableColumn id="45" name="Custom Menu Item Text" dataDxfId="248"/>
    <tableColumn id="46" name="Custom Menu Item Action" dataDxfId="240"/>
    <tableColumn id="47" name="Vertex Group" dataDxfId="189">
      <calculatedColumnFormula>REPLACE(INDEX(GroupVertices[Group], MATCH(Vertices[[#This Row],[Vertex]],GroupVertices[Vertex],0)),1,1,"")</calculatedColumnFormula>
    </tableColumn>
    <tableColumn id="48" name="Sentiment List #1: List1 Word Count" dataDxfId="188"/>
    <tableColumn id="49" name="Sentiment List #1: List1 Word Percentage (%)" dataDxfId="187"/>
    <tableColumn id="50" name="Sentiment List #2: List2 Word Count" dataDxfId="186"/>
    <tableColumn id="51" name="Sentiment List #2: List2 Word Percentage (%)" dataDxfId="185"/>
    <tableColumn id="52" name="Sentiment List #3: List3 Word Count" dataDxfId="184"/>
    <tableColumn id="53" name="Sentiment List #3: List3 Word Percentage (%)" dataDxfId="183"/>
    <tableColumn id="54" name="Non-categorized Word Count" dataDxfId="182"/>
    <tableColumn id="55" name="Non-categorized Word Percentage (%)" dataDxfId="181"/>
    <tableColumn id="56" name="Vertex Content Word Count" dataDxfId="12"/>
    <tableColumn id="57" name="URLs In Comment by Count" dataDxfId="11"/>
    <tableColumn id="58" name="URLs In Comment by Salience" dataDxfId="10"/>
    <tableColumn id="59" name="Domains In Comment by Count" dataDxfId="9"/>
    <tableColumn id="60" name="Domains In Comment by Salience" dataDxfId="8"/>
    <tableColumn id="61" name="Hashtags In Comment by Count" dataDxfId="7"/>
    <tableColumn id="62" name="Hashtags In Comment by Salience" dataDxfId="6"/>
    <tableColumn id="63" name="Video URL by Count" dataDxfId="5"/>
    <tableColumn id="64" name="Video URL by Salience" dataDxfId="4"/>
    <tableColumn id="65" name="Top Words in Comment by Count" dataDxfId="3"/>
    <tableColumn id="66" name="Top Words in Comment by Salience" dataDxfId="2"/>
    <tableColumn id="67" name="Top Word Pairs in Comment by Count" dataDxfId="1"/>
    <tableColumn id="68"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5" displayName="NetworkTopItems_5" ref="A15:T25" totalsRowShown="0" headerRowDxfId="59" dataDxfId="58">
  <autoFilter ref="A15:T25"/>
  <tableColumns count="20">
    <tableColumn id="1" name="Top Words in Comment in Entire Graph" dataDxfId="57"/>
    <tableColumn id="2" name="Entire Graph Count" dataDxfId="56"/>
    <tableColumn id="3" name="Top Words in Comment in G1" dataDxfId="55"/>
    <tableColumn id="4" name="G1 Count" dataDxfId="54"/>
    <tableColumn id="5" name="Top Words in Comment in G2" dataDxfId="53"/>
    <tableColumn id="6" name="G2 Count" dataDxfId="52"/>
    <tableColumn id="7" name="Top Words in Comment in G3" dataDxfId="51"/>
    <tableColumn id="8" name="G3 Count" dataDxfId="50"/>
    <tableColumn id="9" name="Top Words in Comment in G4" dataDxfId="49"/>
    <tableColumn id="10" name="G4 Count" dataDxfId="48"/>
    <tableColumn id="11" name="Top Words in Comment in G5" dataDxfId="47"/>
    <tableColumn id="12" name="G5 Count" dataDxfId="46"/>
    <tableColumn id="13" name="Top Words in Comment in G6" dataDxfId="45"/>
    <tableColumn id="14" name="G6 Count" dataDxfId="44"/>
    <tableColumn id="15" name="Top Words in Comment in G7" dataDxfId="43"/>
    <tableColumn id="16" name="G7 Count" dataDxfId="42"/>
    <tableColumn id="17" name="Top Words in Comment in G8" dataDxfId="41"/>
    <tableColumn id="18" name="G8 Count" dataDxfId="40"/>
    <tableColumn id="19" name="Top Words in Comment in G9" dataDxfId="39"/>
    <tableColumn id="20" name="G9 Count" dataDxfId="38"/>
  </tableColumns>
  <tableStyleInfo name="NodeXL Table" showFirstColumn="0" showLastColumn="0" showRowStripes="1" showColumnStripes="0"/>
</table>
</file>

<file path=xl/tables/table21.xml><?xml version="1.0" encoding="utf-8"?>
<table xmlns="http://schemas.openxmlformats.org/spreadsheetml/2006/main" id="30" name="NetworkTopItems_6" displayName="NetworkTopItems_6" ref="A28:T38" totalsRowShown="0" headerRowDxfId="36" dataDxfId="35">
  <autoFilter ref="A28:T38"/>
  <tableColumns count="20">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M11" totalsRowShown="0" headerRowDxfId="343">
  <autoFilter ref="A2:AM11"/>
  <tableColumns count="39">
    <tableColumn id="1" name="Group" dataDxfId="247"/>
    <tableColumn id="2" name="Vertex Color" dataDxfId="246"/>
    <tableColumn id="3" name="Vertex Shape" dataDxfId="244"/>
    <tableColumn id="22" name="Visibility" dataDxfId="245"/>
    <tableColumn id="4" name="Collapsed?"/>
    <tableColumn id="18" name="Label" dataDxfId="342"/>
    <tableColumn id="20" name="Collapsed X"/>
    <tableColumn id="21" name="Collapsed Y"/>
    <tableColumn id="6" name="ID" dataDxfId="341"/>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180"/>
    <tableColumn id="23" name="Sentiment List #1: List1 Word Count" dataDxfId="179"/>
    <tableColumn id="26" name="Sentiment List #1: List1 Word Percentage (%)" dataDxfId="178"/>
    <tableColumn id="27" name="Sentiment List #2: List2 Word Count" dataDxfId="177"/>
    <tableColumn id="28" name="Sentiment List #2: List2 Word Percentage (%)" dataDxfId="176"/>
    <tableColumn id="29" name="Sentiment List #3: List3 Word Count" dataDxfId="175"/>
    <tableColumn id="30" name="Sentiment List #3: List3 Word Percentage (%)" dataDxfId="174"/>
    <tableColumn id="31" name="Non-categorized Word Count" dataDxfId="173"/>
    <tableColumn id="32" name="Non-categorized Word Percentage (%)" dataDxfId="172"/>
    <tableColumn id="33" name="Group Content Word Count" dataDxfId="129"/>
    <tableColumn id="34" name="Top URLs In Comment" dataDxfId="106"/>
    <tableColumn id="35" name="Top Domains In Comment" dataDxfId="83"/>
    <tableColumn id="36" name="Top Hashtags In Comment" dataDxfId="60"/>
    <tableColumn id="37" name="Top Video URL" dataDxfId="37"/>
    <tableColumn id="38" name="Top Words in Comment" dataDxfId="14"/>
    <tableColumn id="39" name="Top Word Pairs in Comment"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340" dataDxfId="339">
  <autoFilter ref="A1:C112"/>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38"/>
    <tableColumn id="2" name="Degree Frequency" dataDxfId="337">
      <calculatedColumnFormula>COUNTIF(Vertices[Degree], "&gt;= " &amp; D2) - COUNTIF(Vertices[Degree], "&gt;=" &amp; D3)</calculatedColumnFormula>
    </tableColumn>
    <tableColumn id="3" name="In-Degree Bin" dataDxfId="336"/>
    <tableColumn id="4" name="In-Degree Frequency" dataDxfId="335">
      <calculatedColumnFormula>COUNTIF(Vertices[In-Degree], "&gt;= " &amp; F2) - COUNTIF(Vertices[In-Degree], "&gt;=" &amp; F3)</calculatedColumnFormula>
    </tableColumn>
    <tableColumn id="5" name="Out-Degree Bin" dataDxfId="334"/>
    <tableColumn id="6" name="Out-Degree Frequency" dataDxfId="333">
      <calculatedColumnFormula>COUNTIF(Vertices[Out-Degree], "&gt;= " &amp; H2) - COUNTIF(Vertices[Out-Degree], "&gt;=" &amp; H3)</calculatedColumnFormula>
    </tableColumn>
    <tableColumn id="7" name="Betweenness Centrality Bin" dataDxfId="332"/>
    <tableColumn id="8" name="Betweenness Centrality Frequency" dataDxfId="331">
      <calculatedColumnFormula>COUNTIF(Vertices[Betweenness Centrality], "&gt;= " &amp; J2) - COUNTIF(Vertices[Betweenness Centrality], "&gt;=" &amp; J3)</calculatedColumnFormula>
    </tableColumn>
    <tableColumn id="9" name="Closeness Centrality Bin" dataDxfId="330"/>
    <tableColumn id="10" name="Closeness Centrality Frequency" dataDxfId="329">
      <calculatedColumnFormula>COUNTIF(Vertices[Closeness Centrality], "&gt;= " &amp; L2) - COUNTIF(Vertices[Closeness Centrality], "&gt;=" &amp; L3)</calculatedColumnFormula>
    </tableColumn>
    <tableColumn id="11" name="Eigenvector Centrality Bin" dataDxfId="328"/>
    <tableColumn id="12" name="Eigenvector Centrality Frequency" dataDxfId="327">
      <calculatedColumnFormula>COUNTIF(Vertices[Eigenvector Centrality], "&gt;= " &amp; N2) - COUNTIF(Vertices[Eigenvector Centrality], "&gt;=" &amp; N3)</calculatedColumnFormula>
    </tableColumn>
    <tableColumn id="18" name="PageRank Bin" dataDxfId="326"/>
    <tableColumn id="17" name="PageRank Frequency" dataDxfId="325">
      <calculatedColumnFormula>COUNTIF(Vertices[Eigenvector Centrality], "&gt;= " &amp; P2) - COUNTIF(Vertices[Eigenvector Centrality], "&gt;=" &amp; P3)</calculatedColumnFormula>
    </tableColumn>
    <tableColumn id="13" name="Clustering Coefficient Bin" dataDxfId="324"/>
    <tableColumn id="14" name="Clustering Coefficient Frequency" dataDxfId="323">
      <calculatedColumnFormula>COUNTIF(Vertices[Clustering Coefficient], "&gt;= " &amp; R2) - COUNTIF(Vertices[Clustering Coefficient], "&gt;=" &amp; R3)</calculatedColumnFormula>
    </tableColumn>
    <tableColumn id="15" name="Dynamic Filter Bin" dataDxfId="322"/>
    <tableColumn id="16" name="Dynamic Filter Frequency" dataDxfId="3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2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L3Ob_r4yk60" TargetMode="External" /><Relationship Id="rId2" Type="http://schemas.openxmlformats.org/officeDocument/2006/relationships/hyperlink" Target="https://www.youtube.com/watch?v=" TargetMode="External" /><Relationship Id="rId3" Type="http://schemas.openxmlformats.org/officeDocument/2006/relationships/hyperlink" Target="https://www.youtube.com/watch?v=L3Ob_r4yk60" TargetMode="External" /><Relationship Id="rId4" Type="http://schemas.openxmlformats.org/officeDocument/2006/relationships/hyperlink" Target="https://www.youtube.com/watch?v=" TargetMode="External" /><Relationship Id="rId5" Type="http://schemas.openxmlformats.org/officeDocument/2006/relationships/hyperlink" Target="https://www.youtube.com/watch?v=L3Ob_r4yk60" TargetMode="External" /><Relationship Id="rId6" Type="http://schemas.openxmlformats.org/officeDocument/2006/relationships/hyperlink" Target="https://www.youtube.com/watch?v=" TargetMode="External" /><Relationship Id="rId7" Type="http://schemas.openxmlformats.org/officeDocument/2006/relationships/hyperlink" Target="https://www.youtube.com/watch?v=L3Ob_r4yk60" TargetMode="External" /><Relationship Id="rId8" Type="http://schemas.openxmlformats.org/officeDocument/2006/relationships/hyperlink" Target="https://www.youtube.com/watch?v=" TargetMode="External" /><Relationship Id="rId9" Type="http://schemas.openxmlformats.org/officeDocument/2006/relationships/hyperlink" Target="https://www.youtube.com/watch?v=L3Ob_r4yk60" TargetMode="External" /><Relationship Id="rId10" Type="http://schemas.openxmlformats.org/officeDocument/2006/relationships/hyperlink" Target="https://www.youtube.com/watch?v=" TargetMode="External" /><Relationship Id="rId11" Type="http://schemas.openxmlformats.org/officeDocument/2006/relationships/hyperlink" Target="https://www.youtube.com/watch?v=" TargetMode="External" /><Relationship Id="rId12" Type="http://schemas.openxmlformats.org/officeDocument/2006/relationships/hyperlink" Target="https://www.youtube.com/watch?v=L3Ob_r4yk60" TargetMode="External" /><Relationship Id="rId13" Type="http://schemas.openxmlformats.org/officeDocument/2006/relationships/hyperlink" Target="https://www.youtube.com/watch?v=" TargetMode="External" /><Relationship Id="rId14" Type="http://schemas.openxmlformats.org/officeDocument/2006/relationships/hyperlink" Target="https://www.youtube.com/watch?v=L3Ob_r4yk60" TargetMode="External" /><Relationship Id="rId15" Type="http://schemas.openxmlformats.org/officeDocument/2006/relationships/hyperlink" Target="https://www.youtube.com/watch?v=" TargetMode="External" /><Relationship Id="rId16" Type="http://schemas.openxmlformats.org/officeDocument/2006/relationships/hyperlink" Target="https://www.youtube.com/watch?v=L3Ob_r4yk60" TargetMode="External" /><Relationship Id="rId17" Type="http://schemas.openxmlformats.org/officeDocument/2006/relationships/hyperlink" Target="https://www.youtube.com/watch?v=L3Ob_r4yk60" TargetMode="External" /><Relationship Id="rId18" Type="http://schemas.openxmlformats.org/officeDocument/2006/relationships/hyperlink" Target="https://www.youtube.com/watch?v=" TargetMode="External" /><Relationship Id="rId19" Type="http://schemas.openxmlformats.org/officeDocument/2006/relationships/hyperlink" Target="https://www.youtube.com/watch?v=L3Ob_r4yk60" TargetMode="Externa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129"/>
  <sheetViews>
    <sheetView workbookViewId="0" topLeftCell="A1">
      <pane xSplit="2" ySplit="2" topLeftCell="C2095"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1.710937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6" t="s">
        <v>39</v>
      </c>
      <c r="D1" s="17"/>
      <c r="E1" s="17"/>
      <c r="F1" s="17"/>
      <c r="G1" s="16"/>
      <c r="H1" s="14" t="s">
        <v>43</v>
      </c>
      <c r="I1" s="50"/>
      <c r="J1" s="50"/>
      <c r="K1" s="33" t="s">
        <v>42</v>
      </c>
      <c r="L1" s="18" t="s">
        <v>40</v>
      </c>
      <c r="M1" s="18"/>
      <c r="N1" s="15"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306</v>
      </c>
      <c r="P2" s="13" t="s">
        <v>307</v>
      </c>
      <c r="Q2" s="13" t="s">
        <v>308</v>
      </c>
      <c r="R2" s="13" t="s">
        <v>309</v>
      </c>
      <c r="S2" s="13" t="s">
        <v>310</v>
      </c>
      <c r="T2" s="13" t="s">
        <v>311</v>
      </c>
      <c r="U2" s="13" t="s">
        <v>312</v>
      </c>
      <c r="V2" s="13" t="s">
        <v>313</v>
      </c>
      <c r="W2" s="13" t="s">
        <v>314</v>
      </c>
      <c r="X2" s="13" t="s">
        <v>315</v>
      </c>
      <c r="Y2" s="13" t="s">
        <v>316</v>
      </c>
      <c r="Z2" s="13" t="s">
        <v>317</v>
      </c>
      <c r="AA2" s="13" t="s">
        <v>318</v>
      </c>
      <c r="AB2" s="13" t="s">
        <v>319</v>
      </c>
      <c r="AC2" s="13" t="s">
        <v>320</v>
      </c>
      <c r="AD2" s="13" t="s">
        <v>321</v>
      </c>
      <c r="AE2" t="s">
        <v>342</v>
      </c>
      <c r="AF2" s="13" t="s">
        <v>362</v>
      </c>
      <c r="AG2" s="13" t="s">
        <v>363</v>
      </c>
      <c r="AH2" s="52" t="s">
        <v>597</v>
      </c>
      <c r="AI2" s="52" t="s">
        <v>598</v>
      </c>
      <c r="AJ2" s="52" t="s">
        <v>599</v>
      </c>
      <c r="AK2" s="52" t="s">
        <v>600</v>
      </c>
      <c r="AL2" s="52" t="s">
        <v>601</v>
      </c>
      <c r="AM2" s="52" t="s">
        <v>602</v>
      </c>
      <c r="AN2" s="52" t="s">
        <v>603</v>
      </c>
      <c r="AO2" s="52" t="s">
        <v>604</v>
      </c>
      <c r="AP2" s="52" t="s">
        <v>605</v>
      </c>
    </row>
    <row r="3" spans="1:42" ht="15" customHeight="1">
      <c r="A3" s="66" t="s">
        <v>875</v>
      </c>
      <c r="B3" s="66" t="s">
        <v>766</v>
      </c>
      <c r="C3" s="67" t="s">
        <v>743</v>
      </c>
      <c r="D3" s="68">
        <v>3</v>
      </c>
      <c r="E3" s="69"/>
      <c r="F3" s="70">
        <v>50</v>
      </c>
      <c r="G3" s="67"/>
      <c r="H3" s="71"/>
      <c r="I3" s="72"/>
      <c r="J3" s="72"/>
      <c r="K3" s="34" t="s">
        <v>65</v>
      </c>
      <c r="L3" s="73">
        <v>3</v>
      </c>
      <c r="M3" s="73"/>
      <c r="N3" s="74"/>
      <c r="O3" s="89" t="s">
        <v>322</v>
      </c>
      <c r="P3" s="89" t="s">
        <v>324</v>
      </c>
      <c r="Q3" s="89" t="s">
        <v>1072</v>
      </c>
      <c r="R3" s="89" t="s">
        <v>875</v>
      </c>
      <c r="S3" s="89" t="s">
        <v>1182</v>
      </c>
      <c r="T3" s="92" t="str">
        <f>HYPERLINK("http://www.youtube.com/channel/UC-k5kdcnYfmOPIdFeKadsWw")</f>
        <v>http://www.youtube.com/channel/UC-k5kdcnYfmOPIdFeKadsWw</v>
      </c>
      <c r="U3" s="89" t="s">
        <v>1183</v>
      </c>
      <c r="V3" s="89" t="s">
        <v>1227</v>
      </c>
      <c r="W3" s="92" t="str">
        <f>HYPERLINK("https://www.youtube.com/watch?v=L3Ob_r4yk60")</f>
        <v>https://www.youtube.com/watch?v=L3Ob_r4yk60</v>
      </c>
      <c r="X3" s="89" t="s">
        <v>326</v>
      </c>
      <c r="Y3" s="89">
        <v>9</v>
      </c>
      <c r="Z3" s="95">
        <v>43912.45564814815</v>
      </c>
      <c r="AA3" s="95">
        <v>43912.45564814815</v>
      </c>
      <c r="AB3" s="89"/>
      <c r="AC3" s="89"/>
      <c r="AD3" s="89"/>
      <c r="AE3" s="89">
        <v>1</v>
      </c>
      <c r="AF3" s="89" t="str">
        <f>REPLACE(INDEX(GroupVertices[Group],MATCH(Edges[[#This Row],[Vertex 1]],GroupVertices[Vertex],0)),1,1,"")</f>
        <v>1</v>
      </c>
      <c r="AG3" s="89" t="str">
        <f>REPLACE(INDEX(GroupVertices[Group],MATCH(Edges[[#This Row],[Vertex 2]],GroupVertices[Vertex],0)),1,1,"")</f>
        <v>1</v>
      </c>
      <c r="AH3" s="48">
        <v>2</v>
      </c>
      <c r="AI3" s="49">
        <v>2.6666666666666665</v>
      </c>
      <c r="AJ3" s="48">
        <v>6</v>
      </c>
      <c r="AK3" s="49">
        <v>8</v>
      </c>
      <c r="AL3" s="48">
        <v>0</v>
      </c>
      <c r="AM3" s="49">
        <v>0</v>
      </c>
      <c r="AN3" s="48">
        <v>67</v>
      </c>
      <c r="AO3" s="49">
        <v>89.33333333333333</v>
      </c>
      <c r="AP3" s="48">
        <v>75</v>
      </c>
    </row>
    <row r="4" spans="1:42" ht="15" customHeight="1">
      <c r="A4" s="66" t="s">
        <v>766</v>
      </c>
      <c r="B4" s="66" t="s">
        <v>766</v>
      </c>
      <c r="C4" s="67" t="s">
        <v>743</v>
      </c>
      <c r="D4" s="68">
        <v>3</v>
      </c>
      <c r="E4" s="69"/>
      <c r="F4" s="70">
        <v>50</v>
      </c>
      <c r="G4" s="67"/>
      <c r="H4" s="71"/>
      <c r="I4" s="72"/>
      <c r="J4" s="72"/>
      <c r="K4" s="34" t="s">
        <v>65</v>
      </c>
      <c r="L4" s="79">
        <v>4</v>
      </c>
      <c r="M4" s="79"/>
      <c r="N4" s="74"/>
      <c r="O4" s="90" t="s">
        <v>322</v>
      </c>
      <c r="P4" s="90" t="s">
        <v>324</v>
      </c>
      <c r="Q4" s="90" t="s">
        <v>877</v>
      </c>
      <c r="R4" s="90" t="s">
        <v>766</v>
      </c>
      <c r="S4" s="90" t="s">
        <v>1073</v>
      </c>
      <c r="T4" s="93" t="str">
        <f>HYPERLINK("http://www.youtube.com/channel/UC7x9_kEXL1ZApi5VyfWCY_A")</f>
        <v>http://www.youtube.com/channel/UC7x9_kEXL1ZApi5VyfWCY_A</v>
      </c>
      <c r="U4" s="90" t="s">
        <v>1183</v>
      </c>
      <c r="V4" s="90" t="s">
        <v>1227</v>
      </c>
      <c r="W4" s="93" t="str">
        <f>HYPERLINK("https://www.youtube.com/watch?v=L3Ob_r4yk60")</f>
        <v>https://www.youtube.com/watch?v=L3Ob_r4yk60</v>
      </c>
      <c r="X4" s="90" t="s">
        <v>326</v>
      </c>
      <c r="Y4" s="90">
        <v>3</v>
      </c>
      <c r="Z4" s="96">
        <v>43912.476064814815</v>
      </c>
      <c r="AA4" s="96">
        <v>43912.476064814815</v>
      </c>
      <c r="AB4" s="90"/>
      <c r="AC4" s="90"/>
      <c r="AD4" s="90"/>
      <c r="AE4" s="90">
        <v>1</v>
      </c>
      <c r="AF4" s="89" t="str">
        <f>REPLACE(INDEX(GroupVertices[Group],MATCH(Edges[[#This Row],[Vertex 1]],GroupVertices[Vertex],0)),1,1,"")</f>
        <v>1</v>
      </c>
      <c r="AG4" s="89" t="str">
        <f>REPLACE(INDEX(GroupVertices[Group],MATCH(Edges[[#This Row],[Vertex 2]],GroupVertices[Vertex],0)),1,1,"")</f>
        <v>1</v>
      </c>
      <c r="AH4" s="48">
        <v>6</v>
      </c>
      <c r="AI4" s="49">
        <v>6.896551724137931</v>
      </c>
      <c r="AJ4" s="48">
        <v>2</v>
      </c>
      <c r="AK4" s="49">
        <v>2.2988505747126435</v>
      </c>
      <c r="AL4" s="48">
        <v>0</v>
      </c>
      <c r="AM4" s="49">
        <v>0</v>
      </c>
      <c r="AN4" s="48">
        <v>79</v>
      </c>
      <c r="AO4" s="49">
        <v>90.80459770114942</v>
      </c>
      <c r="AP4" s="48">
        <v>87</v>
      </c>
    </row>
    <row r="5" spans="1:42" ht="15">
      <c r="A5" s="66" t="s">
        <v>767</v>
      </c>
      <c r="B5" s="66" t="s">
        <v>766</v>
      </c>
      <c r="C5" s="67" t="s">
        <v>743</v>
      </c>
      <c r="D5" s="68">
        <v>3</v>
      </c>
      <c r="E5" s="69"/>
      <c r="F5" s="70">
        <v>50</v>
      </c>
      <c r="G5" s="67"/>
      <c r="H5" s="71"/>
      <c r="I5" s="72"/>
      <c r="J5" s="72"/>
      <c r="K5" s="34" t="s">
        <v>65</v>
      </c>
      <c r="L5" s="79">
        <v>5</v>
      </c>
      <c r="M5" s="79"/>
      <c r="N5" s="74"/>
      <c r="O5" s="90" t="s">
        <v>322</v>
      </c>
      <c r="P5" s="90" t="s">
        <v>324</v>
      </c>
      <c r="Q5" s="90" t="s">
        <v>878</v>
      </c>
      <c r="R5" s="90" t="s">
        <v>767</v>
      </c>
      <c r="S5" s="90" t="s">
        <v>1074</v>
      </c>
      <c r="T5" s="93" t="str">
        <f>HYPERLINK("http://www.youtube.com/channel/UCIykfDLsjZByMEXDU7XqVhg")</f>
        <v>http://www.youtube.com/channel/UCIykfDLsjZByMEXDU7XqVhg</v>
      </c>
      <c r="U5" s="90" t="s">
        <v>1183</v>
      </c>
      <c r="V5" s="90" t="s">
        <v>1227</v>
      </c>
      <c r="W5" s="93" t="str">
        <f>HYPERLINK("https://www.youtube.com/watch?v=L3Ob_r4yk60")</f>
        <v>https://www.youtube.com/watch?v=L3Ob_r4yk60</v>
      </c>
      <c r="X5" s="90" t="s">
        <v>326</v>
      </c>
      <c r="Y5" s="90">
        <v>0</v>
      </c>
      <c r="Z5" s="96">
        <v>43912.5953125</v>
      </c>
      <c r="AA5" s="96">
        <v>43912.5953125</v>
      </c>
      <c r="AB5" s="90"/>
      <c r="AC5" s="90"/>
      <c r="AD5" s="90"/>
      <c r="AE5" s="90">
        <v>1</v>
      </c>
      <c r="AF5" s="89" t="str">
        <f>REPLACE(INDEX(GroupVertices[Group],MATCH(Edges[[#This Row],[Vertex 1]],GroupVertices[Vertex],0)),1,1,"")</f>
        <v>1</v>
      </c>
      <c r="AG5" s="89" t="str">
        <f>REPLACE(INDEX(GroupVertices[Group],MATCH(Edges[[#This Row],[Vertex 2]],GroupVertices[Vertex],0)),1,1,"")</f>
        <v>1</v>
      </c>
      <c r="AH5" s="48">
        <v>0</v>
      </c>
      <c r="AI5" s="49">
        <v>0</v>
      </c>
      <c r="AJ5" s="48">
        <v>0</v>
      </c>
      <c r="AK5" s="49">
        <v>0</v>
      </c>
      <c r="AL5" s="48">
        <v>0</v>
      </c>
      <c r="AM5" s="49">
        <v>0</v>
      </c>
      <c r="AN5" s="48">
        <v>4</v>
      </c>
      <c r="AO5" s="49">
        <v>100</v>
      </c>
      <c r="AP5" s="48">
        <v>4</v>
      </c>
    </row>
    <row r="6" spans="1:42" ht="15">
      <c r="A6" s="66" t="s">
        <v>766</v>
      </c>
      <c r="B6" s="66" t="s">
        <v>876</v>
      </c>
      <c r="C6" s="67" t="s">
        <v>743</v>
      </c>
      <c r="D6" s="68">
        <v>3</v>
      </c>
      <c r="E6" s="69"/>
      <c r="F6" s="70">
        <v>50</v>
      </c>
      <c r="G6" s="67"/>
      <c r="H6" s="71"/>
      <c r="I6" s="72"/>
      <c r="J6" s="72"/>
      <c r="K6" s="34" t="s">
        <v>65</v>
      </c>
      <c r="L6" s="79">
        <v>6</v>
      </c>
      <c r="M6" s="79"/>
      <c r="N6" s="74"/>
      <c r="O6" s="90" t="s">
        <v>323</v>
      </c>
      <c r="P6" s="90" t="s">
        <v>308</v>
      </c>
      <c r="Q6" s="90" t="s">
        <v>879</v>
      </c>
      <c r="R6" s="90" t="s">
        <v>766</v>
      </c>
      <c r="S6" s="90" t="s">
        <v>1073</v>
      </c>
      <c r="T6" s="93" t="str">
        <f>HYPERLINK("http://www.youtube.com/channel/UC7x9_kEXL1ZApi5VyfWCY_A")</f>
        <v>http://www.youtube.com/channel/UC7x9_kEXL1ZApi5VyfWCY_A</v>
      </c>
      <c r="U6" s="90"/>
      <c r="V6" s="90" t="s">
        <v>1227</v>
      </c>
      <c r="W6" s="93" t="str">
        <f>HYPERLINK("https://www.youtube.com/watch?v=L3Ob_r4yk60")</f>
        <v>https://www.youtube.com/watch?v=L3Ob_r4yk60</v>
      </c>
      <c r="X6" s="90" t="s">
        <v>326</v>
      </c>
      <c r="Y6" s="90">
        <v>5</v>
      </c>
      <c r="Z6" s="96">
        <v>43912.45197916667</v>
      </c>
      <c r="AA6" s="96">
        <v>43912.45197916667</v>
      </c>
      <c r="AB6" s="90"/>
      <c r="AC6" s="90"/>
      <c r="AD6" s="90"/>
      <c r="AE6" s="90">
        <v>1</v>
      </c>
      <c r="AF6" s="89" t="str">
        <f>REPLACE(INDEX(GroupVertices[Group],MATCH(Edges[[#This Row],[Vertex 1]],GroupVertices[Vertex],0)),1,1,"")</f>
        <v>1</v>
      </c>
      <c r="AG6" s="89" t="str">
        <f>REPLACE(INDEX(GroupVertices[Group],MATCH(Edges[[#This Row],[Vertex 2]],GroupVertices[Vertex],0)),1,1,"")</f>
        <v>1</v>
      </c>
      <c r="AH6" s="48">
        <v>2</v>
      </c>
      <c r="AI6" s="49">
        <v>16.666666666666668</v>
      </c>
      <c r="AJ6" s="48">
        <v>0</v>
      </c>
      <c r="AK6" s="49">
        <v>0</v>
      </c>
      <c r="AL6" s="48">
        <v>0</v>
      </c>
      <c r="AM6" s="49">
        <v>0</v>
      </c>
      <c r="AN6" s="48">
        <v>10</v>
      </c>
      <c r="AO6" s="49">
        <v>83.33333333333333</v>
      </c>
      <c r="AP6" s="48">
        <v>12</v>
      </c>
    </row>
    <row r="7" spans="1:42" ht="15">
      <c r="A7" s="66" t="s">
        <v>768</v>
      </c>
      <c r="B7" s="66" t="s">
        <v>780</v>
      </c>
      <c r="C7" s="67" t="s">
        <v>743</v>
      </c>
      <c r="D7" s="68">
        <v>3</v>
      </c>
      <c r="E7" s="69"/>
      <c r="F7" s="70">
        <v>50</v>
      </c>
      <c r="G7" s="67"/>
      <c r="H7" s="71"/>
      <c r="I7" s="72"/>
      <c r="J7" s="72"/>
      <c r="K7" s="34" t="s">
        <v>65</v>
      </c>
      <c r="L7" s="79">
        <v>7</v>
      </c>
      <c r="M7" s="79"/>
      <c r="N7" s="74"/>
      <c r="O7" s="90" t="s">
        <v>322</v>
      </c>
      <c r="P7" s="90" t="s">
        <v>324</v>
      </c>
      <c r="Q7" s="90" t="s">
        <v>880</v>
      </c>
      <c r="R7" s="90" t="s">
        <v>768</v>
      </c>
      <c r="S7" s="90" t="s">
        <v>1075</v>
      </c>
      <c r="T7" s="93" t="str">
        <f>HYPERLINK("http://www.youtube.com/channel/UCFhsBKYnt6CLxukd5uqJZrA")</f>
        <v>http://www.youtube.com/channel/UCFhsBKYnt6CLxukd5uqJZrA</v>
      </c>
      <c r="U7" s="90" t="s">
        <v>1184</v>
      </c>
      <c r="V7" s="90" t="s">
        <v>1227</v>
      </c>
      <c r="W7" s="93" t="str">
        <f>HYPERLINK("https://www.youtube.com/watch?v=")</f>
        <v>https://www.youtube.com/watch?v=</v>
      </c>
      <c r="X7" s="90" t="s">
        <v>326</v>
      </c>
      <c r="Y7" s="90">
        <v>25</v>
      </c>
      <c r="Z7" s="96">
        <v>43912.492743055554</v>
      </c>
      <c r="AA7" s="96">
        <v>43912.492743055554</v>
      </c>
      <c r="AB7" s="90"/>
      <c r="AC7" s="90"/>
      <c r="AD7" s="90"/>
      <c r="AE7" s="90">
        <v>1</v>
      </c>
      <c r="AF7" s="89" t="str">
        <f>REPLACE(INDEX(GroupVertices[Group],MATCH(Edges[[#This Row],[Vertex 1]],GroupVertices[Vertex],0)),1,1,"")</f>
        <v>7</v>
      </c>
      <c r="AG7" s="89" t="str">
        <f>REPLACE(INDEX(GroupVertices[Group],MATCH(Edges[[#This Row],[Vertex 2]],GroupVertices[Vertex],0)),1,1,"")</f>
        <v>7</v>
      </c>
      <c r="AH7" s="48">
        <v>0</v>
      </c>
      <c r="AI7" s="49">
        <v>0</v>
      </c>
      <c r="AJ7" s="48">
        <v>0</v>
      </c>
      <c r="AK7" s="49">
        <v>0</v>
      </c>
      <c r="AL7" s="48">
        <v>0</v>
      </c>
      <c r="AM7" s="49">
        <v>0</v>
      </c>
      <c r="AN7" s="48">
        <v>25</v>
      </c>
      <c r="AO7" s="49">
        <v>100</v>
      </c>
      <c r="AP7" s="48">
        <v>25</v>
      </c>
    </row>
    <row r="8" spans="1:42" ht="15">
      <c r="A8" s="66" t="s">
        <v>769</v>
      </c>
      <c r="B8" s="66" t="s">
        <v>780</v>
      </c>
      <c r="C8" s="67" t="s">
        <v>743</v>
      </c>
      <c r="D8" s="68">
        <v>3</v>
      </c>
      <c r="E8" s="69"/>
      <c r="F8" s="70">
        <v>50</v>
      </c>
      <c r="G8" s="67"/>
      <c r="H8" s="71"/>
      <c r="I8" s="72"/>
      <c r="J8" s="72"/>
      <c r="K8" s="34" t="s">
        <v>65</v>
      </c>
      <c r="L8" s="79">
        <v>8</v>
      </c>
      <c r="M8" s="79"/>
      <c r="N8" s="74"/>
      <c r="O8" s="90" t="s">
        <v>322</v>
      </c>
      <c r="P8" s="90" t="s">
        <v>324</v>
      </c>
      <c r="Q8" s="90" t="s">
        <v>881</v>
      </c>
      <c r="R8" s="90" t="s">
        <v>769</v>
      </c>
      <c r="S8" s="90" t="s">
        <v>1076</v>
      </c>
      <c r="T8" s="93" t="str">
        <f>HYPERLINK("http://www.youtube.com/channel/UCJfiDdpLkI8LSHFQuzvx3FQ")</f>
        <v>http://www.youtube.com/channel/UCJfiDdpLkI8LSHFQuzvx3FQ</v>
      </c>
      <c r="U8" s="90" t="s">
        <v>1184</v>
      </c>
      <c r="V8" s="90" t="s">
        <v>1227</v>
      </c>
      <c r="W8" s="93" t="str">
        <f>HYPERLINK("https://www.youtube.com/watch?v=")</f>
        <v>https://www.youtube.com/watch?v=</v>
      </c>
      <c r="X8" s="90" t="s">
        <v>326</v>
      </c>
      <c r="Y8" s="90">
        <v>2</v>
      </c>
      <c r="Z8" s="96">
        <v>43912.56201388889</v>
      </c>
      <c r="AA8" s="96">
        <v>43912.56201388889</v>
      </c>
      <c r="AB8" s="90"/>
      <c r="AC8" s="90"/>
      <c r="AD8" s="90"/>
      <c r="AE8" s="90">
        <v>1</v>
      </c>
      <c r="AF8" s="89" t="str">
        <f>REPLACE(INDEX(GroupVertices[Group],MATCH(Edges[[#This Row],[Vertex 1]],GroupVertices[Vertex],0)),1,1,"")</f>
        <v>7</v>
      </c>
      <c r="AG8" s="89" t="str">
        <f>REPLACE(INDEX(GroupVertices[Group],MATCH(Edges[[#This Row],[Vertex 2]],GroupVertices[Vertex],0)),1,1,"")</f>
        <v>7</v>
      </c>
      <c r="AH8" s="48">
        <v>0</v>
      </c>
      <c r="AI8" s="49">
        <v>0</v>
      </c>
      <c r="AJ8" s="48">
        <v>1</v>
      </c>
      <c r="AK8" s="49">
        <v>14.285714285714286</v>
      </c>
      <c r="AL8" s="48">
        <v>0</v>
      </c>
      <c r="AM8" s="49">
        <v>0</v>
      </c>
      <c r="AN8" s="48">
        <v>6</v>
      </c>
      <c r="AO8" s="49">
        <v>85.71428571428571</v>
      </c>
      <c r="AP8" s="48">
        <v>7</v>
      </c>
    </row>
    <row r="9" spans="1:42" ht="15">
      <c r="A9" s="66" t="s">
        <v>770</v>
      </c>
      <c r="B9" s="66" t="s">
        <v>780</v>
      </c>
      <c r="C9" s="67" t="s">
        <v>743</v>
      </c>
      <c r="D9" s="68">
        <v>3</v>
      </c>
      <c r="E9" s="69"/>
      <c r="F9" s="70">
        <v>50</v>
      </c>
      <c r="G9" s="67"/>
      <c r="H9" s="71"/>
      <c r="I9" s="72"/>
      <c r="J9" s="72"/>
      <c r="K9" s="34" t="s">
        <v>65</v>
      </c>
      <c r="L9" s="79">
        <v>9</v>
      </c>
      <c r="M9" s="79"/>
      <c r="N9" s="74"/>
      <c r="O9" s="90" t="s">
        <v>322</v>
      </c>
      <c r="P9" s="90" t="s">
        <v>324</v>
      </c>
      <c r="Q9" s="90" t="s">
        <v>882</v>
      </c>
      <c r="R9" s="90" t="s">
        <v>770</v>
      </c>
      <c r="S9" s="90" t="s">
        <v>1077</v>
      </c>
      <c r="T9" s="93" t="str">
        <f>HYPERLINK("http://www.youtube.com/channel/UCWYnNPZJ4gVCDKZGvBaoSjQ")</f>
        <v>http://www.youtube.com/channel/UCWYnNPZJ4gVCDKZGvBaoSjQ</v>
      </c>
      <c r="U9" s="90" t="s">
        <v>1184</v>
      </c>
      <c r="V9" s="90" t="s">
        <v>1227</v>
      </c>
      <c r="W9" s="93" t="str">
        <f>HYPERLINK("https://www.youtube.com/watch?v=")</f>
        <v>https://www.youtube.com/watch?v=</v>
      </c>
      <c r="X9" s="90" t="s">
        <v>326</v>
      </c>
      <c r="Y9" s="90">
        <v>6</v>
      </c>
      <c r="Z9" s="96">
        <v>43912.72791666666</v>
      </c>
      <c r="AA9" s="96">
        <v>43912.72791666666</v>
      </c>
      <c r="AB9" s="90"/>
      <c r="AC9" s="90"/>
      <c r="AD9" s="90"/>
      <c r="AE9" s="90">
        <v>1</v>
      </c>
      <c r="AF9" s="89" t="str">
        <f>REPLACE(INDEX(GroupVertices[Group],MATCH(Edges[[#This Row],[Vertex 1]],GroupVertices[Vertex],0)),1,1,"")</f>
        <v>7</v>
      </c>
      <c r="AG9" s="89" t="str">
        <f>REPLACE(INDEX(GroupVertices[Group],MATCH(Edges[[#This Row],[Vertex 2]],GroupVertices[Vertex],0)),1,1,"")</f>
        <v>7</v>
      </c>
      <c r="AH9" s="48">
        <v>0</v>
      </c>
      <c r="AI9" s="49">
        <v>0</v>
      </c>
      <c r="AJ9" s="48">
        <v>3</v>
      </c>
      <c r="AK9" s="49">
        <v>5.882352941176471</v>
      </c>
      <c r="AL9" s="48">
        <v>0</v>
      </c>
      <c r="AM9" s="49">
        <v>0</v>
      </c>
      <c r="AN9" s="48">
        <v>48</v>
      </c>
      <c r="AO9" s="49">
        <v>94.11764705882354</v>
      </c>
      <c r="AP9" s="48">
        <v>51</v>
      </c>
    </row>
    <row r="10" spans="1:42" ht="15">
      <c r="A10" s="66" t="s">
        <v>771</v>
      </c>
      <c r="B10" s="66" t="s">
        <v>780</v>
      </c>
      <c r="C10" s="67" t="s">
        <v>743</v>
      </c>
      <c r="D10" s="68">
        <v>3</v>
      </c>
      <c r="E10" s="69"/>
      <c r="F10" s="70">
        <v>50</v>
      </c>
      <c r="G10" s="67"/>
      <c r="H10" s="71"/>
      <c r="I10" s="72"/>
      <c r="J10" s="72"/>
      <c r="K10" s="34" t="s">
        <v>65</v>
      </c>
      <c r="L10" s="79">
        <v>10</v>
      </c>
      <c r="M10" s="79"/>
      <c r="N10" s="74"/>
      <c r="O10" s="90" t="s">
        <v>322</v>
      </c>
      <c r="P10" s="90" t="s">
        <v>324</v>
      </c>
      <c r="Q10" s="90" t="s">
        <v>883</v>
      </c>
      <c r="R10" s="90" t="s">
        <v>771</v>
      </c>
      <c r="S10" s="90" t="s">
        <v>1078</v>
      </c>
      <c r="T10" s="93" t="str">
        <f>HYPERLINK("http://www.youtube.com/channel/UCReaHOQu71QT6o-4fphdPKw")</f>
        <v>http://www.youtube.com/channel/UCReaHOQu71QT6o-4fphdPKw</v>
      </c>
      <c r="U10" s="90" t="s">
        <v>1184</v>
      </c>
      <c r="V10" s="90" t="s">
        <v>1227</v>
      </c>
      <c r="W10" s="93" t="str">
        <f>HYPERLINK("https://www.youtube.com/watch?v=")</f>
        <v>https://www.youtube.com/watch?v=</v>
      </c>
      <c r="X10" s="90" t="s">
        <v>326</v>
      </c>
      <c r="Y10" s="90">
        <v>3</v>
      </c>
      <c r="Z10" s="96">
        <v>43912.786145833335</v>
      </c>
      <c r="AA10" s="96">
        <v>43912.786145833335</v>
      </c>
      <c r="AB10" s="90"/>
      <c r="AC10" s="90"/>
      <c r="AD10" s="90"/>
      <c r="AE10" s="90">
        <v>1</v>
      </c>
      <c r="AF10" s="89" t="str">
        <f>REPLACE(INDEX(GroupVertices[Group],MATCH(Edges[[#This Row],[Vertex 1]],GroupVertices[Vertex],0)),1,1,"")</f>
        <v>7</v>
      </c>
      <c r="AG10" s="89" t="str">
        <f>REPLACE(INDEX(GroupVertices[Group],MATCH(Edges[[#This Row],[Vertex 2]],GroupVertices[Vertex],0)),1,1,"")</f>
        <v>7</v>
      </c>
      <c r="AH10" s="48">
        <v>2</v>
      </c>
      <c r="AI10" s="49">
        <v>9.090909090909092</v>
      </c>
      <c r="AJ10" s="48">
        <v>0</v>
      </c>
      <c r="AK10" s="49">
        <v>0</v>
      </c>
      <c r="AL10" s="48">
        <v>0</v>
      </c>
      <c r="AM10" s="49">
        <v>0</v>
      </c>
      <c r="AN10" s="48">
        <v>20</v>
      </c>
      <c r="AO10" s="49">
        <v>90.9090909090909</v>
      </c>
      <c r="AP10" s="48">
        <v>22</v>
      </c>
    </row>
    <row r="11" spans="1:42" ht="15">
      <c r="A11" s="66" t="s">
        <v>772</v>
      </c>
      <c r="B11" s="66" t="s">
        <v>780</v>
      </c>
      <c r="C11" s="67" t="s">
        <v>743</v>
      </c>
      <c r="D11" s="68">
        <v>3</v>
      </c>
      <c r="E11" s="69"/>
      <c r="F11" s="70">
        <v>50</v>
      </c>
      <c r="G11" s="67"/>
      <c r="H11" s="71"/>
      <c r="I11" s="72"/>
      <c r="J11" s="72"/>
      <c r="K11" s="34" t="s">
        <v>65</v>
      </c>
      <c r="L11" s="79">
        <v>11</v>
      </c>
      <c r="M11" s="79"/>
      <c r="N11" s="74"/>
      <c r="O11" s="90" t="s">
        <v>322</v>
      </c>
      <c r="P11" s="90" t="s">
        <v>324</v>
      </c>
      <c r="Q11" s="90" t="s">
        <v>884</v>
      </c>
      <c r="R11" s="90" t="s">
        <v>772</v>
      </c>
      <c r="S11" s="90" t="s">
        <v>1079</v>
      </c>
      <c r="T11" s="93" t="str">
        <f>HYPERLINK("http://www.youtube.com/channel/UClhuyN7siN-XGSCfYg_KL8w")</f>
        <v>http://www.youtube.com/channel/UClhuyN7siN-XGSCfYg_KL8w</v>
      </c>
      <c r="U11" s="90" t="s">
        <v>1184</v>
      </c>
      <c r="V11" s="90" t="s">
        <v>1227</v>
      </c>
      <c r="W11" s="93" t="str">
        <f>HYPERLINK("https://www.youtube.com/watch?v=")</f>
        <v>https://www.youtube.com/watch?v=</v>
      </c>
      <c r="X11" s="90" t="s">
        <v>326</v>
      </c>
      <c r="Y11" s="90">
        <v>0</v>
      </c>
      <c r="Z11" s="96">
        <v>43912.865798611114</v>
      </c>
      <c r="AA11" s="96">
        <v>43912.865798611114</v>
      </c>
      <c r="AB11" s="90"/>
      <c r="AC11" s="90"/>
      <c r="AD11" s="90"/>
      <c r="AE11" s="90">
        <v>1</v>
      </c>
      <c r="AF11" s="89" t="str">
        <f>REPLACE(INDEX(GroupVertices[Group],MATCH(Edges[[#This Row],[Vertex 1]],GroupVertices[Vertex],0)),1,1,"")</f>
        <v>7</v>
      </c>
      <c r="AG11" s="89" t="str">
        <f>REPLACE(INDEX(GroupVertices[Group],MATCH(Edges[[#This Row],[Vertex 2]],GroupVertices[Vertex],0)),1,1,"")</f>
        <v>7</v>
      </c>
      <c r="AH11" s="48">
        <v>0</v>
      </c>
      <c r="AI11" s="49">
        <v>0</v>
      </c>
      <c r="AJ11" s="48">
        <v>0</v>
      </c>
      <c r="AK11" s="49">
        <v>0</v>
      </c>
      <c r="AL11" s="48">
        <v>0</v>
      </c>
      <c r="AM11" s="49">
        <v>0</v>
      </c>
      <c r="AN11" s="48">
        <v>2</v>
      </c>
      <c r="AO11" s="49">
        <v>100</v>
      </c>
      <c r="AP11" s="48">
        <v>2</v>
      </c>
    </row>
    <row r="12" spans="1:42" ht="15">
      <c r="A12" s="66" t="s">
        <v>773</v>
      </c>
      <c r="B12" s="66" t="s">
        <v>780</v>
      </c>
      <c r="C12" s="67" t="s">
        <v>744</v>
      </c>
      <c r="D12" s="68">
        <v>10</v>
      </c>
      <c r="E12" s="69"/>
      <c r="F12" s="70">
        <v>20</v>
      </c>
      <c r="G12" s="67"/>
      <c r="H12" s="71"/>
      <c r="I12" s="72"/>
      <c r="J12" s="72"/>
      <c r="K12" s="34" t="s">
        <v>65</v>
      </c>
      <c r="L12" s="79">
        <v>12</v>
      </c>
      <c r="M12" s="79"/>
      <c r="N12" s="74"/>
      <c r="O12" s="90" t="s">
        <v>322</v>
      </c>
      <c r="P12" s="90" t="s">
        <v>324</v>
      </c>
      <c r="Q12" s="90" t="s">
        <v>885</v>
      </c>
      <c r="R12" s="90" t="s">
        <v>773</v>
      </c>
      <c r="S12" s="90" t="s">
        <v>1080</v>
      </c>
      <c r="T12" s="93" t="str">
        <f>HYPERLINK("http://www.youtube.com/channel/UCXIdsaCiwO4wx2sa4Ea1r3w")</f>
        <v>http://www.youtube.com/channel/UCXIdsaCiwO4wx2sa4Ea1r3w</v>
      </c>
      <c r="U12" s="90" t="s">
        <v>1184</v>
      </c>
      <c r="V12" s="90" t="s">
        <v>1227</v>
      </c>
      <c r="W12" s="93" t="str">
        <f>HYPERLINK("https://www.youtube.com/watch?v=")</f>
        <v>https://www.youtube.com/watch?v=</v>
      </c>
      <c r="X12" s="90" t="s">
        <v>326</v>
      </c>
      <c r="Y12" s="90">
        <v>4</v>
      </c>
      <c r="Z12" s="96">
        <v>43912.88554398148</v>
      </c>
      <c r="AA12" s="96">
        <v>43912.88554398148</v>
      </c>
      <c r="AB12" s="90"/>
      <c r="AC12" s="90"/>
      <c r="AD12" s="90"/>
      <c r="AE12" s="90">
        <v>2</v>
      </c>
      <c r="AF12" s="89" t="str">
        <f>REPLACE(INDEX(GroupVertices[Group],MATCH(Edges[[#This Row],[Vertex 1]],GroupVertices[Vertex],0)),1,1,"")</f>
        <v>7</v>
      </c>
      <c r="AG12" s="89" t="str">
        <f>REPLACE(INDEX(GroupVertices[Group],MATCH(Edges[[#This Row],[Vertex 2]],GroupVertices[Vertex],0)),1,1,"")</f>
        <v>7</v>
      </c>
      <c r="AH12" s="48">
        <v>0</v>
      </c>
      <c r="AI12" s="49">
        <v>0</v>
      </c>
      <c r="AJ12" s="48">
        <v>2</v>
      </c>
      <c r="AK12" s="49">
        <v>15.384615384615385</v>
      </c>
      <c r="AL12" s="48">
        <v>0</v>
      </c>
      <c r="AM12" s="49">
        <v>0</v>
      </c>
      <c r="AN12" s="48">
        <v>11</v>
      </c>
      <c r="AO12" s="49">
        <v>84.61538461538461</v>
      </c>
      <c r="AP12" s="48">
        <v>13</v>
      </c>
    </row>
    <row r="13" spans="1:42" ht="15">
      <c r="A13" s="66" t="s">
        <v>773</v>
      </c>
      <c r="B13" s="66" t="s">
        <v>780</v>
      </c>
      <c r="C13" s="67" t="s">
        <v>744</v>
      </c>
      <c r="D13" s="68">
        <v>10</v>
      </c>
      <c r="E13" s="69"/>
      <c r="F13" s="70">
        <v>20</v>
      </c>
      <c r="G13" s="67"/>
      <c r="H13" s="71"/>
      <c r="I13" s="72"/>
      <c r="J13" s="72"/>
      <c r="K13" s="34" t="s">
        <v>65</v>
      </c>
      <c r="L13" s="79">
        <v>13</v>
      </c>
      <c r="M13" s="79"/>
      <c r="N13" s="74"/>
      <c r="O13" s="90" t="s">
        <v>322</v>
      </c>
      <c r="P13" s="90" t="s">
        <v>324</v>
      </c>
      <c r="Q13" s="90" t="s">
        <v>886</v>
      </c>
      <c r="R13" s="90" t="s">
        <v>773</v>
      </c>
      <c r="S13" s="90" t="s">
        <v>1080</v>
      </c>
      <c r="T13" s="93" t="str">
        <f>HYPERLINK("http://www.youtube.com/channel/UCXIdsaCiwO4wx2sa4Ea1r3w")</f>
        <v>http://www.youtube.com/channel/UCXIdsaCiwO4wx2sa4Ea1r3w</v>
      </c>
      <c r="U13" s="90" t="s">
        <v>1184</v>
      </c>
      <c r="V13" s="90" t="s">
        <v>1227</v>
      </c>
      <c r="W13" s="93" t="str">
        <f>HYPERLINK("https://www.youtube.com/watch?v=")</f>
        <v>https://www.youtube.com/watch?v=</v>
      </c>
      <c r="X13" s="90" t="s">
        <v>326</v>
      </c>
      <c r="Y13" s="90">
        <v>2</v>
      </c>
      <c r="Z13" s="96">
        <v>43912.88619212963</v>
      </c>
      <c r="AA13" s="96">
        <v>43912.88619212963</v>
      </c>
      <c r="AB13" s="90"/>
      <c r="AC13" s="90"/>
      <c r="AD13" s="90"/>
      <c r="AE13" s="90">
        <v>2</v>
      </c>
      <c r="AF13" s="89" t="str">
        <f>REPLACE(INDEX(GroupVertices[Group],MATCH(Edges[[#This Row],[Vertex 1]],GroupVertices[Vertex],0)),1,1,"")</f>
        <v>7</v>
      </c>
      <c r="AG13" s="89" t="str">
        <f>REPLACE(INDEX(GroupVertices[Group],MATCH(Edges[[#This Row],[Vertex 2]],GroupVertices[Vertex],0)),1,1,"")</f>
        <v>7</v>
      </c>
      <c r="AH13" s="48">
        <v>0</v>
      </c>
      <c r="AI13" s="49">
        <v>0</v>
      </c>
      <c r="AJ13" s="48">
        <v>2</v>
      </c>
      <c r="AK13" s="49">
        <v>20</v>
      </c>
      <c r="AL13" s="48">
        <v>0</v>
      </c>
      <c r="AM13" s="49">
        <v>0</v>
      </c>
      <c r="AN13" s="48">
        <v>8</v>
      </c>
      <c r="AO13" s="49">
        <v>80</v>
      </c>
      <c r="AP13" s="48">
        <v>10</v>
      </c>
    </row>
    <row r="14" spans="1:42" ht="15">
      <c r="A14" s="66" t="s">
        <v>774</v>
      </c>
      <c r="B14" s="66" t="s">
        <v>780</v>
      </c>
      <c r="C14" s="67" t="s">
        <v>743</v>
      </c>
      <c r="D14" s="68">
        <v>3</v>
      </c>
      <c r="E14" s="69"/>
      <c r="F14" s="70">
        <v>50</v>
      </c>
      <c r="G14" s="67"/>
      <c r="H14" s="71"/>
      <c r="I14" s="72"/>
      <c r="J14" s="72"/>
      <c r="K14" s="34" t="s">
        <v>65</v>
      </c>
      <c r="L14" s="79">
        <v>14</v>
      </c>
      <c r="M14" s="79"/>
      <c r="N14" s="74"/>
      <c r="O14" s="90" t="s">
        <v>322</v>
      </c>
      <c r="P14" s="90" t="s">
        <v>324</v>
      </c>
      <c r="Q14" s="90" t="s">
        <v>887</v>
      </c>
      <c r="R14" s="90" t="s">
        <v>774</v>
      </c>
      <c r="S14" s="90" t="s">
        <v>1081</v>
      </c>
      <c r="T14" s="93" t="str">
        <f>HYPERLINK("http://www.youtube.com/channel/UCm5lH-uUs6RBSPWDdLHBeHQ")</f>
        <v>http://www.youtube.com/channel/UCm5lH-uUs6RBSPWDdLHBeHQ</v>
      </c>
      <c r="U14" s="90" t="s">
        <v>1184</v>
      </c>
      <c r="V14" s="90" t="s">
        <v>1227</v>
      </c>
      <c r="W14" s="93" t="str">
        <f>HYPERLINK("https://www.youtube.com/watch?v=")</f>
        <v>https://www.youtube.com/watch?v=</v>
      </c>
      <c r="X14" s="90" t="s">
        <v>326</v>
      </c>
      <c r="Y14" s="90">
        <v>0</v>
      </c>
      <c r="Z14" s="96">
        <v>43913.1306712963</v>
      </c>
      <c r="AA14" s="96">
        <v>43913.1306712963</v>
      </c>
      <c r="AB14" s="90"/>
      <c r="AC14" s="90"/>
      <c r="AD14" s="90"/>
      <c r="AE14" s="90">
        <v>1</v>
      </c>
      <c r="AF14" s="89" t="str">
        <f>REPLACE(INDEX(GroupVertices[Group],MATCH(Edges[[#This Row],[Vertex 1]],GroupVertices[Vertex],0)),1,1,"")</f>
        <v>7</v>
      </c>
      <c r="AG14" s="89" t="str">
        <f>REPLACE(INDEX(GroupVertices[Group],MATCH(Edges[[#This Row],[Vertex 2]],GroupVertices[Vertex],0)),1,1,"")</f>
        <v>7</v>
      </c>
      <c r="AH14" s="48">
        <v>0</v>
      </c>
      <c r="AI14" s="49">
        <v>0</v>
      </c>
      <c r="AJ14" s="48">
        <v>1</v>
      </c>
      <c r="AK14" s="49">
        <v>20</v>
      </c>
      <c r="AL14" s="48">
        <v>0</v>
      </c>
      <c r="AM14" s="49">
        <v>0</v>
      </c>
      <c r="AN14" s="48">
        <v>4</v>
      </c>
      <c r="AO14" s="49">
        <v>80</v>
      </c>
      <c r="AP14" s="48">
        <v>5</v>
      </c>
    </row>
    <row r="15" spans="1:42" ht="15">
      <c r="A15" s="66" t="s">
        <v>775</v>
      </c>
      <c r="B15" s="66" t="s">
        <v>780</v>
      </c>
      <c r="C15" s="67" t="s">
        <v>744</v>
      </c>
      <c r="D15" s="68">
        <v>10</v>
      </c>
      <c r="E15" s="69"/>
      <c r="F15" s="70">
        <v>20</v>
      </c>
      <c r="G15" s="67"/>
      <c r="H15" s="71"/>
      <c r="I15" s="72"/>
      <c r="J15" s="72"/>
      <c r="K15" s="34" t="s">
        <v>65</v>
      </c>
      <c r="L15" s="79">
        <v>15</v>
      </c>
      <c r="M15" s="79"/>
      <c r="N15" s="74"/>
      <c r="O15" s="90" t="s">
        <v>322</v>
      </c>
      <c r="P15" s="90" t="s">
        <v>324</v>
      </c>
      <c r="Q15" s="90" t="s">
        <v>888</v>
      </c>
      <c r="R15" s="90" t="s">
        <v>775</v>
      </c>
      <c r="S15" s="90" t="s">
        <v>1082</v>
      </c>
      <c r="T15" s="93" t="str">
        <f>HYPERLINK("http://www.youtube.com/channel/UC513I_mp7Vn5vmB9xoFAXWA")</f>
        <v>http://www.youtube.com/channel/UC513I_mp7Vn5vmB9xoFAXWA</v>
      </c>
      <c r="U15" s="90" t="s">
        <v>1184</v>
      </c>
      <c r="V15" s="90" t="s">
        <v>1227</v>
      </c>
      <c r="W15" s="93" t="str">
        <f>HYPERLINK("https://www.youtube.com/watch?v=")</f>
        <v>https://www.youtube.com/watch?v=</v>
      </c>
      <c r="X15" s="90" t="s">
        <v>326</v>
      </c>
      <c r="Y15" s="90">
        <v>3</v>
      </c>
      <c r="Z15" s="96">
        <v>43913.06408564815</v>
      </c>
      <c r="AA15" s="96">
        <v>43913.06408564815</v>
      </c>
      <c r="AB15" s="90"/>
      <c r="AC15" s="90"/>
      <c r="AD15" s="90"/>
      <c r="AE15" s="90">
        <v>2</v>
      </c>
      <c r="AF15" s="89" t="str">
        <f>REPLACE(INDEX(GroupVertices[Group],MATCH(Edges[[#This Row],[Vertex 1]],GroupVertices[Vertex],0)),1,1,"")</f>
        <v>7</v>
      </c>
      <c r="AG15" s="89" t="str">
        <f>REPLACE(INDEX(GroupVertices[Group],MATCH(Edges[[#This Row],[Vertex 2]],GroupVertices[Vertex],0)),1,1,"")</f>
        <v>7</v>
      </c>
      <c r="AH15" s="48">
        <v>0</v>
      </c>
      <c r="AI15" s="49">
        <v>0</v>
      </c>
      <c r="AJ15" s="48">
        <v>0</v>
      </c>
      <c r="AK15" s="49">
        <v>0</v>
      </c>
      <c r="AL15" s="48">
        <v>0</v>
      </c>
      <c r="AM15" s="49">
        <v>0</v>
      </c>
      <c r="AN15" s="48">
        <v>11</v>
      </c>
      <c r="AO15" s="49">
        <v>100</v>
      </c>
      <c r="AP15" s="48">
        <v>11</v>
      </c>
    </row>
    <row r="16" spans="1:42" ht="15">
      <c r="A16" s="66" t="s">
        <v>775</v>
      </c>
      <c r="B16" s="66" t="s">
        <v>780</v>
      </c>
      <c r="C16" s="67" t="s">
        <v>744</v>
      </c>
      <c r="D16" s="68">
        <v>10</v>
      </c>
      <c r="E16" s="69"/>
      <c r="F16" s="70">
        <v>20</v>
      </c>
      <c r="G16" s="67"/>
      <c r="H16" s="71"/>
      <c r="I16" s="72"/>
      <c r="J16" s="72"/>
      <c r="K16" s="34" t="s">
        <v>65</v>
      </c>
      <c r="L16" s="79">
        <v>16</v>
      </c>
      <c r="M16" s="79"/>
      <c r="N16" s="74"/>
      <c r="O16" s="90" t="s">
        <v>322</v>
      </c>
      <c r="P16" s="90" t="s">
        <v>324</v>
      </c>
      <c r="Q16" s="90" t="s">
        <v>889</v>
      </c>
      <c r="R16" s="90" t="s">
        <v>775</v>
      </c>
      <c r="S16" s="90" t="s">
        <v>1082</v>
      </c>
      <c r="T16" s="93" t="str">
        <f>HYPERLINK("http://www.youtube.com/channel/UC513I_mp7Vn5vmB9xoFAXWA")</f>
        <v>http://www.youtube.com/channel/UC513I_mp7Vn5vmB9xoFAXWA</v>
      </c>
      <c r="U16" s="90" t="s">
        <v>1184</v>
      </c>
      <c r="V16" s="90" t="s">
        <v>1227</v>
      </c>
      <c r="W16" s="93" t="str">
        <f>HYPERLINK("https://www.youtube.com/watch?v=")</f>
        <v>https://www.youtube.com/watch?v=</v>
      </c>
      <c r="X16" s="90" t="s">
        <v>326</v>
      </c>
      <c r="Y16" s="90">
        <v>2</v>
      </c>
      <c r="Z16" s="96">
        <v>43913.57981481482</v>
      </c>
      <c r="AA16" s="96">
        <v>43913.57981481482</v>
      </c>
      <c r="AB16" s="90"/>
      <c r="AC16" s="90"/>
      <c r="AD16" s="90"/>
      <c r="AE16" s="90">
        <v>2</v>
      </c>
      <c r="AF16" s="89" t="str">
        <f>REPLACE(INDEX(GroupVertices[Group],MATCH(Edges[[#This Row],[Vertex 1]],GroupVertices[Vertex],0)),1,1,"")</f>
        <v>7</v>
      </c>
      <c r="AG16" s="89" t="str">
        <f>REPLACE(INDEX(GroupVertices[Group],MATCH(Edges[[#This Row],[Vertex 2]],GroupVertices[Vertex],0)),1,1,"")</f>
        <v>7</v>
      </c>
      <c r="AH16" s="48">
        <v>6</v>
      </c>
      <c r="AI16" s="49">
        <v>9.23076923076923</v>
      </c>
      <c r="AJ16" s="48">
        <v>4</v>
      </c>
      <c r="AK16" s="49">
        <v>6.153846153846154</v>
      </c>
      <c r="AL16" s="48">
        <v>0</v>
      </c>
      <c r="AM16" s="49">
        <v>0</v>
      </c>
      <c r="AN16" s="48">
        <v>55</v>
      </c>
      <c r="AO16" s="49">
        <v>84.61538461538461</v>
      </c>
      <c r="AP16" s="48">
        <v>65</v>
      </c>
    </row>
    <row r="17" spans="1:42" ht="15">
      <c r="A17" s="66" t="s">
        <v>776</v>
      </c>
      <c r="B17" s="66" t="s">
        <v>780</v>
      </c>
      <c r="C17" s="67" t="s">
        <v>743</v>
      </c>
      <c r="D17" s="68">
        <v>3</v>
      </c>
      <c r="E17" s="69"/>
      <c r="F17" s="70">
        <v>50</v>
      </c>
      <c r="G17" s="67"/>
      <c r="H17" s="71"/>
      <c r="I17" s="72"/>
      <c r="J17" s="72"/>
      <c r="K17" s="34" t="s">
        <v>65</v>
      </c>
      <c r="L17" s="79">
        <v>17</v>
      </c>
      <c r="M17" s="79"/>
      <c r="N17" s="74"/>
      <c r="O17" s="90" t="s">
        <v>322</v>
      </c>
      <c r="P17" s="90" t="s">
        <v>324</v>
      </c>
      <c r="Q17" s="90" t="s">
        <v>890</v>
      </c>
      <c r="R17" s="90" t="s">
        <v>776</v>
      </c>
      <c r="S17" s="90" t="s">
        <v>1083</v>
      </c>
      <c r="T17" s="93" t="str">
        <f>HYPERLINK("http://www.youtube.com/channel/UCZRsbwr8wtLjxR2tQRMZA9A")</f>
        <v>http://www.youtube.com/channel/UCZRsbwr8wtLjxR2tQRMZA9A</v>
      </c>
      <c r="U17" s="90" t="s">
        <v>1184</v>
      </c>
      <c r="V17" s="90" t="s">
        <v>1227</v>
      </c>
      <c r="W17" s="93" t="str">
        <f>HYPERLINK("https://www.youtube.com/watch?v=")</f>
        <v>https://www.youtube.com/watch?v=</v>
      </c>
      <c r="X17" s="90" t="s">
        <v>326</v>
      </c>
      <c r="Y17" s="90">
        <v>0</v>
      </c>
      <c r="Z17" s="96">
        <v>43929.26828703703</v>
      </c>
      <c r="AA17" s="96">
        <v>43929.26828703703</v>
      </c>
      <c r="AB17" s="90"/>
      <c r="AC17" s="90"/>
      <c r="AD17" s="90"/>
      <c r="AE17" s="90">
        <v>1</v>
      </c>
      <c r="AF17" s="89" t="str">
        <f>REPLACE(INDEX(GroupVertices[Group],MATCH(Edges[[#This Row],[Vertex 1]],GroupVertices[Vertex],0)),1,1,"")</f>
        <v>7</v>
      </c>
      <c r="AG17" s="89" t="str">
        <f>REPLACE(INDEX(GroupVertices[Group],MATCH(Edges[[#This Row],[Vertex 2]],GroupVertices[Vertex],0)),1,1,"")</f>
        <v>7</v>
      </c>
      <c r="AH17" s="48">
        <v>0</v>
      </c>
      <c r="AI17" s="49">
        <v>0</v>
      </c>
      <c r="AJ17" s="48">
        <v>2</v>
      </c>
      <c r="AK17" s="49">
        <v>28.571428571428573</v>
      </c>
      <c r="AL17" s="48">
        <v>0</v>
      </c>
      <c r="AM17" s="49">
        <v>0</v>
      </c>
      <c r="AN17" s="48">
        <v>5</v>
      </c>
      <c r="AO17" s="49">
        <v>71.42857142857143</v>
      </c>
      <c r="AP17" s="48">
        <v>7</v>
      </c>
    </row>
    <row r="18" spans="1:42" ht="15">
      <c r="A18" s="66" t="s">
        <v>777</v>
      </c>
      <c r="B18" s="66" t="s">
        <v>780</v>
      </c>
      <c r="C18" s="67" t="s">
        <v>744</v>
      </c>
      <c r="D18" s="68">
        <v>10</v>
      </c>
      <c r="E18" s="69"/>
      <c r="F18" s="70">
        <v>20</v>
      </c>
      <c r="G18" s="67"/>
      <c r="H18" s="71"/>
      <c r="I18" s="72"/>
      <c r="J18" s="72"/>
      <c r="K18" s="34" t="s">
        <v>65</v>
      </c>
      <c r="L18" s="79">
        <v>18</v>
      </c>
      <c r="M18" s="79"/>
      <c r="N18" s="74"/>
      <c r="O18" s="90" t="s">
        <v>322</v>
      </c>
      <c r="P18" s="90" t="s">
        <v>324</v>
      </c>
      <c r="Q18" s="90" t="s">
        <v>891</v>
      </c>
      <c r="R18" s="90" t="s">
        <v>777</v>
      </c>
      <c r="S18" s="90" t="s">
        <v>1084</v>
      </c>
      <c r="T18" s="93" t="str">
        <f>HYPERLINK("http://www.youtube.com/channel/UC48GDyHlhY6qMDusEqwsJLQ")</f>
        <v>http://www.youtube.com/channel/UC48GDyHlhY6qMDusEqwsJLQ</v>
      </c>
      <c r="U18" s="90" t="s">
        <v>1184</v>
      </c>
      <c r="V18" s="90" t="s">
        <v>1227</v>
      </c>
      <c r="W18" s="93" t="str">
        <f>HYPERLINK("https://www.youtube.com/watch?v=")</f>
        <v>https://www.youtube.com/watch?v=</v>
      </c>
      <c r="X18" s="90" t="s">
        <v>326</v>
      </c>
      <c r="Y18" s="90">
        <v>2</v>
      </c>
      <c r="Z18" s="96">
        <v>43912.47038194445</v>
      </c>
      <c r="AA18" s="96">
        <v>43912.47038194445</v>
      </c>
      <c r="AB18" s="90"/>
      <c r="AC18" s="90"/>
      <c r="AD18" s="90"/>
      <c r="AE18" s="90">
        <v>2</v>
      </c>
      <c r="AF18" s="89" t="str">
        <f>REPLACE(INDEX(GroupVertices[Group],MATCH(Edges[[#This Row],[Vertex 1]],GroupVertices[Vertex],0)),1,1,"")</f>
        <v>3</v>
      </c>
      <c r="AG18" s="89" t="str">
        <f>REPLACE(INDEX(GroupVertices[Group],MATCH(Edges[[#This Row],[Vertex 2]],GroupVertices[Vertex],0)),1,1,"")</f>
        <v>7</v>
      </c>
      <c r="AH18" s="48">
        <v>0</v>
      </c>
      <c r="AI18" s="49">
        <v>0</v>
      </c>
      <c r="AJ18" s="48">
        <v>0</v>
      </c>
      <c r="AK18" s="49">
        <v>0</v>
      </c>
      <c r="AL18" s="48">
        <v>0</v>
      </c>
      <c r="AM18" s="49">
        <v>0</v>
      </c>
      <c r="AN18" s="48">
        <v>1</v>
      </c>
      <c r="AO18" s="49">
        <v>100</v>
      </c>
      <c r="AP18" s="48">
        <v>1</v>
      </c>
    </row>
    <row r="19" spans="1:42" ht="15">
      <c r="A19" s="66" t="s">
        <v>777</v>
      </c>
      <c r="B19" s="66" t="s">
        <v>780</v>
      </c>
      <c r="C19" s="67" t="s">
        <v>744</v>
      </c>
      <c r="D19" s="68">
        <v>10</v>
      </c>
      <c r="E19" s="69"/>
      <c r="F19" s="70">
        <v>20</v>
      </c>
      <c r="G19" s="67"/>
      <c r="H19" s="71"/>
      <c r="I19" s="72"/>
      <c r="J19" s="72"/>
      <c r="K19" s="34" t="s">
        <v>65</v>
      </c>
      <c r="L19" s="79">
        <v>19</v>
      </c>
      <c r="M19" s="79"/>
      <c r="N19" s="74"/>
      <c r="O19" s="90" t="s">
        <v>322</v>
      </c>
      <c r="P19" s="90" t="s">
        <v>324</v>
      </c>
      <c r="Q19" s="90" t="s">
        <v>892</v>
      </c>
      <c r="R19" s="90" t="s">
        <v>777</v>
      </c>
      <c r="S19" s="90" t="s">
        <v>1084</v>
      </c>
      <c r="T19" s="93" t="str">
        <f>HYPERLINK("http://www.youtube.com/channel/UC48GDyHlhY6qMDusEqwsJLQ")</f>
        <v>http://www.youtube.com/channel/UC48GDyHlhY6qMDusEqwsJLQ</v>
      </c>
      <c r="U19" s="90" t="s">
        <v>1184</v>
      </c>
      <c r="V19" s="90" t="s">
        <v>1227</v>
      </c>
      <c r="W19" s="93" t="str">
        <f>HYPERLINK("https://www.youtube.com/watch?v=")</f>
        <v>https://www.youtube.com/watch?v=</v>
      </c>
      <c r="X19" s="90" t="s">
        <v>326</v>
      </c>
      <c r="Y19" s="90">
        <v>16</v>
      </c>
      <c r="Z19" s="96">
        <v>43912.496875</v>
      </c>
      <c r="AA19" s="96">
        <v>43912.496875</v>
      </c>
      <c r="AB19" s="90"/>
      <c r="AC19" s="90"/>
      <c r="AD19" s="90"/>
      <c r="AE19" s="90">
        <v>2</v>
      </c>
      <c r="AF19" s="89" t="str">
        <f>REPLACE(INDEX(GroupVertices[Group],MATCH(Edges[[#This Row],[Vertex 1]],GroupVertices[Vertex],0)),1,1,"")</f>
        <v>3</v>
      </c>
      <c r="AG19" s="89" t="str">
        <f>REPLACE(INDEX(GroupVertices[Group],MATCH(Edges[[#This Row],[Vertex 2]],GroupVertices[Vertex],0)),1,1,"")</f>
        <v>7</v>
      </c>
      <c r="AH19" s="48">
        <v>2</v>
      </c>
      <c r="AI19" s="49">
        <v>9.523809523809524</v>
      </c>
      <c r="AJ19" s="48">
        <v>1</v>
      </c>
      <c r="AK19" s="49">
        <v>4.761904761904762</v>
      </c>
      <c r="AL19" s="48">
        <v>0</v>
      </c>
      <c r="AM19" s="49">
        <v>0</v>
      </c>
      <c r="AN19" s="48">
        <v>18</v>
      </c>
      <c r="AO19" s="49">
        <v>85.71428571428571</v>
      </c>
      <c r="AP19" s="48">
        <v>21</v>
      </c>
    </row>
    <row r="20" spans="1:42" ht="15">
      <c r="A20" s="66" t="s">
        <v>778</v>
      </c>
      <c r="B20" s="66" t="s">
        <v>780</v>
      </c>
      <c r="C20" s="67" t="s">
        <v>743</v>
      </c>
      <c r="D20" s="68">
        <v>3</v>
      </c>
      <c r="E20" s="69"/>
      <c r="F20" s="70">
        <v>50</v>
      </c>
      <c r="G20" s="67"/>
      <c r="H20" s="71"/>
      <c r="I20" s="72"/>
      <c r="J20" s="72"/>
      <c r="K20" s="34" t="s">
        <v>65</v>
      </c>
      <c r="L20" s="79">
        <v>20</v>
      </c>
      <c r="M20" s="79"/>
      <c r="N20" s="74"/>
      <c r="O20" s="90" t="s">
        <v>322</v>
      </c>
      <c r="P20" s="90" t="s">
        <v>324</v>
      </c>
      <c r="Q20" s="90" t="s">
        <v>893</v>
      </c>
      <c r="R20" s="90" t="s">
        <v>778</v>
      </c>
      <c r="S20" s="90" t="s">
        <v>1085</v>
      </c>
      <c r="T20" s="93" t="str">
        <f>HYPERLINK("http://www.youtube.com/channel/UCvFvo310EFTNVcGfu0vvTPg")</f>
        <v>http://www.youtube.com/channel/UCvFvo310EFTNVcGfu0vvTPg</v>
      </c>
      <c r="U20" s="90" t="s">
        <v>1184</v>
      </c>
      <c r="V20" s="90" t="s">
        <v>1227</v>
      </c>
      <c r="W20" s="93" t="str">
        <f>HYPERLINK("https://www.youtube.com/watch?v=")</f>
        <v>https://www.youtube.com/watch?v=</v>
      </c>
      <c r="X20" s="90" t="s">
        <v>326</v>
      </c>
      <c r="Y20" s="90">
        <v>24</v>
      </c>
      <c r="Z20" s="96">
        <v>43912.52601851852</v>
      </c>
      <c r="AA20" s="96">
        <v>43912.52601851852</v>
      </c>
      <c r="AB20" s="90"/>
      <c r="AC20" s="90"/>
      <c r="AD20" s="90"/>
      <c r="AE20" s="90">
        <v>1</v>
      </c>
      <c r="AF20" s="89" t="str">
        <f>REPLACE(INDEX(GroupVertices[Group],MATCH(Edges[[#This Row],[Vertex 1]],GroupVertices[Vertex],0)),1,1,"")</f>
        <v>3</v>
      </c>
      <c r="AG20" s="89" t="str">
        <f>REPLACE(INDEX(GroupVertices[Group],MATCH(Edges[[#This Row],[Vertex 2]],GroupVertices[Vertex],0)),1,1,"")</f>
        <v>7</v>
      </c>
      <c r="AH20" s="48">
        <v>3</v>
      </c>
      <c r="AI20" s="49">
        <v>2.9702970297029703</v>
      </c>
      <c r="AJ20" s="48">
        <v>3</v>
      </c>
      <c r="AK20" s="49">
        <v>2.9702970297029703</v>
      </c>
      <c r="AL20" s="48">
        <v>0</v>
      </c>
      <c r="AM20" s="49">
        <v>0</v>
      </c>
      <c r="AN20" s="48">
        <v>95</v>
      </c>
      <c r="AO20" s="49">
        <v>94.05940594059406</v>
      </c>
      <c r="AP20" s="48">
        <v>101</v>
      </c>
    </row>
    <row r="21" spans="1:42" ht="15">
      <c r="A21" s="66" t="s">
        <v>779</v>
      </c>
      <c r="B21" s="66" t="s">
        <v>780</v>
      </c>
      <c r="C21" s="67" t="s">
        <v>743</v>
      </c>
      <c r="D21" s="68">
        <v>3</v>
      </c>
      <c r="E21" s="69"/>
      <c r="F21" s="70">
        <v>50</v>
      </c>
      <c r="G21" s="67"/>
      <c r="H21" s="71"/>
      <c r="I21" s="72"/>
      <c r="J21" s="72"/>
      <c r="K21" s="34" t="s">
        <v>65</v>
      </c>
      <c r="L21" s="79">
        <v>21</v>
      </c>
      <c r="M21" s="79"/>
      <c r="N21" s="74"/>
      <c r="O21" s="90" t="s">
        <v>322</v>
      </c>
      <c r="P21" s="90" t="s">
        <v>324</v>
      </c>
      <c r="Q21" s="90" t="s">
        <v>894</v>
      </c>
      <c r="R21" s="90" t="s">
        <v>779</v>
      </c>
      <c r="S21" s="90" t="s">
        <v>1086</v>
      </c>
      <c r="T21" s="93" t="str">
        <f>HYPERLINK("http://www.youtube.com/channel/UCcpk4DMUL77bDwnugsEEHwQ")</f>
        <v>http://www.youtube.com/channel/UCcpk4DMUL77bDwnugsEEHwQ</v>
      </c>
      <c r="U21" s="90" t="s">
        <v>1184</v>
      </c>
      <c r="V21" s="90" t="s">
        <v>1227</v>
      </c>
      <c r="W21" s="93" t="str">
        <f>HYPERLINK("https://www.youtube.com/watch?v=")</f>
        <v>https://www.youtube.com/watch?v=</v>
      </c>
      <c r="X21" s="90" t="s">
        <v>326</v>
      </c>
      <c r="Y21" s="90">
        <v>13</v>
      </c>
      <c r="Z21" s="96">
        <v>43912.54479166667</v>
      </c>
      <c r="AA21" s="96">
        <v>43912.54479166667</v>
      </c>
      <c r="AB21" s="90"/>
      <c r="AC21" s="90"/>
      <c r="AD21" s="90"/>
      <c r="AE21" s="90">
        <v>1</v>
      </c>
      <c r="AF21" s="89" t="str">
        <f>REPLACE(INDEX(GroupVertices[Group],MATCH(Edges[[#This Row],[Vertex 1]],GroupVertices[Vertex],0)),1,1,"")</f>
        <v>6</v>
      </c>
      <c r="AG21" s="89" t="str">
        <f>REPLACE(INDEX(GroupVertices[Group],MATCH(Edges[[#This Row],[Vertex 2]],GroupVertices[Vertex],0)),1,1,"")</f>
        <v>7</v>
      </c>
      <c r="AH21" s="48">
        <v>0</v>
      </c>
      <c r="AI21" s="49">
        <v>0</v>
      </c>
      <c r="AJ21" s="48">
        <v>2</v>
      </c>
      <c r="AK21" s="49">
        <v>11.11111111111111</v>
      </c>
      <c r="AL21" s="48">
        <v>0</v>
      </c>
      <c r="AM21" s="49">
        <v>0</v>
      </c>
      <c r="AN21" s="48">
        <v>16</v>
      </c>
      <c r="AO21" s="49">
        <v>88.88888888888889</v>
      </c>
      <c r="AP21" s="48">
        <v>18</v>
      </c>
    </row>
    <row r="22" spans="1:42" ht="15">
      <c r="A22" s="66" t="s">
        <v>780</v>
      </c>
      <c r="B22" s="66" t="s">
        <v>876</v>
      </c>
      <c r="C22" s="67" t="s">
        <v>743</v>
      </c>
      <c r="D22" s="68">
        <v>3</v>
      </c>
      <c r="E22" s="69"/>
      <c r="F22" s="70">
        <v>50</v>
      </c>
      <c r="G22" s="67"/>
      <c r="H22" s="71"/>
      <c r="I22" s="72"/>
      <c r="J22" s="72"/>
      <c r="K22" s="34" t="s">
        <v>65</v>
      </c>
      <c r="L22" s="79">
        <v>22</v>
      </c>
      <c r="M22" s="79"/>
      <c r="N22" s="74"/>
      <c r="O22" s="90" t="s">
        <v>323</v>
      </c>
      <c r="P22" s="90" t="s">
        <v>308</v>
      </c>
      <c r="Q22" s="90" t="s">
        <v>895</v>
      </c>
      <c r="R22" s="90" t="s">
        <v>780</v>
      </c>
      <c r="S22" s="90" t="s">
        <v>1087</v>
      </c>
      <c r="T22" s="93" t="str">
        <f>HYPERLINK("http://www.youtube.com/channel/UCQszm97yuyMfeNLjNhLQtjg")</f>
        <v>http://www.youtube.com/channel/UCQszm97yuyMfeNLjNhLQtjg</v>
      </c>
      <c r="U22" s="90"/>
      <c r="V22" s="90" t="s">
        <v>1227</v>
      </c>
      <c r="W22" s="93" t="str">
        <f>HYPERLINK("https://www.youtube.com/watch?v=L3Ob_r4yk60")</f>
        <v>https://www.youtube.com/watch?v=L3Ob_r4yk60</v>
      </c>
      <c r="X22" s="90" t="s">
        <v>326</v>
      </c>
      <c r="Y22" s="90">
        <v>186</v>
      </c>
      <c r="Z22" s="96">
        <v>43912.453738425924</v>
      </c>
      <c r="AA22" s="96">
        <v>43912.453738425924</v>
      </c>
      <c r="AB22" s="90"/>
      <c r="AC22" s="90"/>
      <c r="AD22" s="90"/>
      <c r="AE22" s="90">
        <v>1</v>
      </c>
      <c r="AF22" s="89" t="str">
        <f>REPLACE(INDEX(GroupVertices[Group],MATCH(Edges[[#This Row],[Vertex 1]],GroupVertices[Vertex],0)),1,1,"")</f>
        <v>7</v>
      </c>
      <c r="AG22" s="89" t="str">
        <f>REPLACE(INDEX(GroupVertices[Group],MATCH(Edges[[#This Row],[Vertex 2]],GroupVertices[Vertex],0)),1,1,"")</f>
        <v>1</v>
      </c>
      <c r="AH22" s="48">
        <v>3</v>
      </c>
      <c r="AI22" s="49">
        <v>8.571428571428571</v>
      </c>
      <c r="AJ22" s="48">
        <v>2</v>
      </c>
      <c r="AK22" s="49">
        <v>5.714285714285714</v>
      </c>
      <c r="AL22" s="48">
        <v>0</v>
      </c>
      <c r="AM22" s="49">
        <v>0</v>
      </c>
      <c r="AN22" s="48">
        <v>30</v>
      </c>
      <c r="AO22" s="49">
        <v>85.71428571428571</v>
      </c>
      <c r="AP22" s="48">
        <v>35</v>
      </c>
    </row>
    <row r="23" spans="1:42" ht="15">
      <c r="A23" s="66" t="s">
        <v>781</v>
      </c>
      <c r="B23" s="66" t="s">
        <v>791</v>
      </c>
      <c r="C23" s="67" t="s">
        <v>744</v>
      </c>
      <c r="D23" s="68">
        <v>10</v>
      </c>
      <c r="E23" s="69"/>
      <c r="F23" s="70">
        <v>20</v>
      </c>
      <c r="G23" s="67"/>
      <c r="H23" s="71"/>
      <c r="I23" s="72"/>
      <c r="J23" s="72"/>
      <c r="K23" s="34" t="s">
        <v>65</v>
      </c>
      <c r="L23" s="79">
        <v>23</v>
      </c>
      <c r="M23" s="79"/>
      <c r="N23" s="74"/>
      <c r="O23" s="90" t="s">
        <v>322</v>
      </c>
      <c r="P23" s="90" t="s">
        <v>324</v>
      </c>
      <c r="Q23" s="90" t="s">
        <v>896</v>
      </c>
      <c r="R23" s="90" t="s">
        <v>781</v>
      </c>
      <c r="S23" s="90" t="s">
        <v>1088</v>
      </c>
      <c r="T23" s="93" t="str">
        <f>HYPERLINK("http://www.youtube.com/channel/UCz5qRMQF5M6D4SpON8nzbHg")</f>
        <v>http://www.youtube.com/channel/UCz5qRMQF5M6D4SpON8nzbHg</v>
      </c>
      <c r="U23" s="90" t="s">
        <v>1185</v>
      </c>
      <c r="V23" s="90" t="s">
        <v>1227</v>
      </c>
      <c r="W23" s="93" t="str">
        <f>HYPERLINK("https://www.youtube.com/watch?v=")</f>
        <v>https://www.youtube.com/watch?v=</v>
      </c>
      <c r="X23" s="90" t="s">
        <v>326</v>
      </c>
      <c r="Y23" s="90">
        <v>10</v>
      </c>
      <c r="Z23" s="96">
        <v>43912.512870370374</v>
      </c>
      <c r="AA23" s="96">
        <v>43912.512870370374</v>
      </c>
      <c r="AB23" s="90"/>
      <c r="AC23" s="90"/>
      <c r="AD23" s="90"/>
      <c r="AE23" s="90">
        <v>2</v>
      </c>
      <c r="AF23" s="89" t="str">
        <f>REPLACE(INDEX(GroupVertices[Group],MATCH(Edges[[#This Row],[Vertex 1]],GroupVertices[Vertex],0)),1,1,"")</f>
        <v>5</v>
      </c>
      <c r="AG23" s="89" t="str">
        <f>REPLACE(INDEX(GroupVertices[Group],MATCH(Edges[[#This Row],[Vertex 2]],GroupVertices[Vertex],0)),1,1,"")</f>
        <v>5</v>
      </c>
      <c r="AH23" s="48">
        <v>0</v>
      </c>
      <c r="AI23" s="49">
        <v>0</v>
      </c>
      <c r="AJ23" s="48">
        <v>1</v>
      </c>
      <c r="AK23" s="49">
        <v>5.882352941176471</v>
      </c>
      <c r="AL23" s="48">
        <v>0</v>
      </c>
      <c r="AM23" s="49">
        <v>0</v>
      </c>
      <c r="AN23" s="48">
        <v>16</v>
      </c>
      <c r="AO23" s="49">
        <v>94.11764705882354</v>
      </c>
      <c r="AP23" s="48">
        <v>17</v>
      </c>
    </row>
    <row r="24" spans="1:42" ht="15">
      <c r="A24" s="66" t="s">
        <v>781</v>
      </c>
      <c r="B24" s="66" t="s">
        <v>791</v>
      </c>
      <c r="C24" s="67" t="s">
        <v>744</v>
      </c>
      <c r="D24" s="68">
        <v>10</v>
      </c>
      <c r="E24" s="69"/>
      <c r="F24" s="70">
        <v>20</v>
      </c>
      <c r="G24" s="67"/>
      <c r="H24" s="71"/>
      <c r="I24" s="72"/>
      <c r="J24" s="72"/>
      <c r="K24" s="34" t="s">
        <v>65</v>
      </c>
      <c r="L24" s="79">
        <v>24</v>
      </c>
      <c r="M24" s="79"/>
      <c r="N24" s="74"/>
      <c r="O24" s="90" t="s">
        <v>322</v>
      </c>
      <c r="P24" s="90" t="s">
        <v>324</v>
      </c>
      <c r="Q24" s="90" t="s">
        <v>897</v>
      </c>
      <c r="R24" s="90" t="s">
        <v>781</v>
      </c>
      <c r="S24" s="90" t="s">
        <v>1088</v>
      </c>
      <c r="T24" s="93" t="str">
        <f>HYPERLINK("http://www.youtube.com/channel/UCz5qRMQF5M6D4SpON8nzbHg")</f>
        <v>http://www.youtube.com/channel/UCz5qRMQF5M6D4SpON8nzbHg</v>
      </c>
      <c r="U24" s="90" t="s">
        <v>1185</v>
      </c>
      <c r="V24" s="90" t="s">
        <v>1227</v>
      </c>
      <c r="W24" s="93" t="str">
        <f>HYPERLINK("https://www.youtube.com/watch?v=")</f>
        <v>https://www.youtube.com/watch?v=</v>
      </c>
      <c r="X24" s="90" t="s">
        <v>326</v>
      </c>
      <c r="Y24" s="90">
        <v>8</v>
      </c>
      <c r="Z24" s="96">
        <v>43912.54283564815</v>
      </c>
      <c r="AA24" s="96">
        <v>43912.54283564815</v>
      </c>
      <c r="AB24" s="90"/>
      <c r="AC24" s="90"/>
      <c r="AD24" s="90"/>
      <c r="AE24" s="90">
        <v>2</v>
      </c>
      <c r="AF24" s="89" t="str">
        <f>REPLACE(INDEX(GroupVertices[Group],MATCH(Edges[[#This Row],[Vertex 1]],GroupVertices[Vertex],0)),1,1,"")</f>
        <v>5</v>
      </c>
      <c r="AG24" s="89" t="str">
        <f>REPLACE(INDEX(GroupVertices[Group],MATCH(Edges[[#This Row],[Vertex 2]],GroupVertices[Vertex],0)),1,1,"")</f>
        <v>5</v>
      </c>
      <c r="AH24" s="48">
        <v>2</v>
      </c>
      <c r="AI24" s="49">
        <v>2.985074626865672</v>
      </c>
      <c r="AJ24" s="48">
        <v>1</v>
      </c>
      <c r="AK24" s="49">
        <v>1.492537313432836</v>
      </c>
      <c r="AL24" s="48">
        <v>0</v>
      </c>
      <c r="AM24" s="49">
        <v>0</v>
      </c>
      <c r="AN24" s="48">
        <v>64</v>
      </c>
      <c r="AO24" s="49">
        <v>95.5223880597015</v>
      </c>
      <c r="AP24" s="48">
        <v>67</v>
      </c>
    </row>
    <row r="25" spans="1:42" ht="15">
      <c r="A25" s="66" t="s">
        <v>782</v>
      </c>
      <c r="B25" s="66" t="s">
        <v>791</v>
      </c>
      <c r="C25" s="67" t="s">
        <v>743</v>
      </c>
      <c r="D25" s="68">
        <v>3</v>
      </c>
      <c r="E25" s="69"/>
      <c r="F25" s="70">
        <v>50</v>
      </c>
      <c r="G25" s="67"/>
      <c r="H25" s="71"/>
      <c r="I25" s="72"/>
      <c r="J25" s="72"/>
      <c r="K25" s="34" t="s">
        <v>65</v>
      </c>
      <c r="L25" s="79">
        <v>25</v>
      </c>
      <c r="M25" s="79"/>
      <c r="N25" s="74"/>
      <c r="O25" s="90" t="s">
        <v>322</v>
      </c>
      <c r="P25" s="90" t="s">
        <v>324</v>
      </c>
      <c r="Q25" s="90" t="s">
        <v>898</v>
      </c>
      <c r="R25" s="90" t="s">
        <v>782</v>
      </c>
      <c r="S25" s="90" t="s">
        <v>1089</v>
      </c>
      <c r="T25" s="93" t="str">
        <f>HYPERLINK("http://www.youtube.com/channel/UCtEdGDji4XmV0hboA_wm0_g")</f>
        <v>http://www.youtube.com/channel/UCtEdGDji4XmV0hboA_wm0_g</v>
      </c>
      <c r="U25" s="90" t="s">
        <v>1185</v>
      </c>
      <c r="V25" s="90" t="s">
        <v>1227</v>
      </c>
      <c r="W25" s="93" t="str">
        <f>HYPERLINK("https://www.youtube.com/watch?v=")</f>
        <v>https://www.youtube.com/watch?v=</v>
      </c>
      <c r="X25" s="90" t="s">
        <v>326</v>
      </c>
      <c r="Y25" s="90">
        <v>2</v>
      </c>
      <c r="Z25" s="96">
        <v>43912.561527777776</v>
      </c>
      <c r="AA25" s="96">
        <v>43912.561527777776</v>
      </c>
      <c r="AB25" s="90"/>
      <c r="AC25" s="90"/>
      <c r="AD25" s="90"/>
      <c r="AE25" s="90">
        <v>1</v>
      </c>
      <c r="AF25" s="89" t="str">
        <f>REPLACE(INDEX(GroupVertices[Group],MATCH(Edges[[#This Row],[Vertex 1]],GroupVertices[Vertex],0)),1,1,"")</f>
        <v>5</v>
      </c>
      <c r="AG25" s="89" t="str">
        <f>REPLACE(INDEX(GroupVertices[Group],MATCH(Edges[[#This Row],[Vertex 2]],GroupVertices[Vertex],0)),1,1,"")</f>
        <v>5</v>
      </c>
      <c r="AH25" s="48">
        <v>0</v>
      </c>
      <c r="AI25" s="49">
        <v>0</v>
      </c>
      <c r="AJ25" s="48">
        <v>0</v>
      </c>
      <c r="AK25" s="49">
        <v>0</v>
      </c>
      <c r="AL25" s="48">
        <v>0</v>
      </c>
      <c r="AM25" s="49">
        <v>0</v>
      </c>
      <c r="AN25" s="48">
        <v>11</v>
      </c>
      <c r="AO25" s="49">
        <v>100</v>
      </c>
      <c r="AP25" s="48">
        <v>11</v>
      </c>
    </row>
    <row r="26" spans="1:42" ht="15">
      <c r="A26" s="66" t="s">
        <v>783</v>
      </c>
      <c r="B26" s="66" t="s">
        <v>791</v>
      </c>
      <c r="C26" s="67" t="s">
        <v>743</v>
      </c>
      <c r="D26" s="68">
        <v>3</v>
      </c>
      <c r="E26" s="69"/>
      <c r="F26" s="70">
        <v>50</v>
      </c>
      <c r="G26" s="67"/>
      <c r="H26" s="71"/>
      <c r="I26" s="72"/>
      <c r="J26" s="72"/>
      <c r="K26" s="34" t="s">
        <v>65</v>
      </c>
      <c r="L26" s="79">
        <v>26</v>
      </c>
      <c r="M26" s="79"/>
      <c r="N26" s="74"/>
      <c r="O26" s="90" t="s">
        <v>322</v>
      </c>
      <c r="P26" s="90" t="s">
        <v>324</v>
      </c>
      <c r="Q26" s="90" t="s">
        <v>899</v>
      </c>
      <c r="R26" s="90" t="s">
        <v>783</v>
      </c>
      <c r="S26" s="90" t="s">
        <v>1090</v>
      </c>
      <c r="T26" s="93" t="str">
        <f>HYPERLINK("http://www.youtube.com/channel/UCIvbhIsBxxNyHDQrRHZjY5w")</f>
        <v>http://www.youtube.com/channel/UCIvbhIsBxxNyHDQrRHZjY5w</v>
      </c>
      <c r="U26" s="90" t="s">
        <v>1185</v>
      </c>
      <c r="V26" s="90" t="s">
        <v>1227</v>
      </c>
      <c r="W26" s="93" t="str">
        <f>HYPERLINK("https://www.youtube.com/watch?v=")</f>
        <v>https://www.youtube.com/watch?v=</v>
      </c>
      <c r="X26" s="90" t="s">
        <v>326</v>
      </c>
      <c r="Y26" s="90">
        <v>0</v>
      </c>
      <c r="Z26" s="96">
        <v>43912.5853587963</v>
      </c>
      <c r="AA26" s="96">
        <v>43912.5853587963</v>
      </c>
      <c r="AB26" s="90"/>
      <c r="AC26" s="90"/>
      <c r="AD26" s="90"/>
      <c r="AE26" s="90">
        <v>1</v>
      </c>
      <c r="AF26" s="89" t="str">
        <f>REPLACE(INDEX(GroupVertices[Group],MATCH(Edges[[#This Row],[Vertex 1]],GroupVertices[Vertex],0)),1,1,"")</f>
        <v>5</v>
      </c>
      <c r="AG26" s="89" t="str">
        <f>REPLACE(INDEX(GroupVertices[Group],MATCH(Edges[[#This Row],[Vertex 2]],GroupVertices[Vertex],0)),1,1,"")</f>
        <v>5</v>
      </c>
      <c r="AH26" s="48">
        <v>0</v>
      </c>
      <c r="AI26" s="49">
        <v>0</v>
      </c>
      <c r="AJ26" s="48">
        <v>0</v>
      </c>
      <c r="AK26" s="49">
        <v>0</v>
      </c>
      <c r="AL26" s="48">
        <v>0</v>
      </c>
      <c r="AM26" s="49">
        <v>0</v>
      </c>
      <c r="AN26" s="48">
        <v>2</v>
      </c>
      <c r="AO26" s="49">
        <v>100</v>
      </c>
      <c r="AP26" s="48">
        <v>2</v>
      </c>
    </row>
    <row r="27" spans="1:42" ht="15">
      <c r="A27" s="66" t="s">
        <v>784</v>
      </c>
      <c r="B27" s="66" t="s">
        <v>791</v>
      </c>
      <c r="C27" s="67" t="s">
        <v>743</v>
      </c>
      <c r="D27" s="68">
        <v>3</v>
      </c>
      <c r="E27" s="69"/>
      <c r="F27" s="70">
        <v>50</v>
      </c>
      <c r="G27" s="67"/>
      <c r="H27" s="71"/>
      <c r="I27" s="72"/>
      <c r="J27" s="72"/>
      <c r="K27" s="34" t="s">
        <v>65</v>
      </c>
      <c r="L27" s="79">
        <v>27</v>
      </c>
      <c r="M27" s="79"/>
      <c r="N27" s="74"/>
      <c r="O27" s="90" t="s">
        <v>322</v>
      </c>
      <c r="P27" s="90" t="s">
        <v>324</v>
      </c>
      <c r="Q27" s="90" t="s">
        <v>900</v>
      </c>
      <c r="R27" s="90" t="s">
        <v>784</v>
      </c>
      <c r="S27" s="90" t="s">
        <v>1091</v>
      </c>
      <c r="T27" s="93" t="str">
        <f>HYPERLINK("http://www.youtube.com/channel/UC6Uo2ffY8Bie7FRTjvyqnog")</f>
        <v>http://www.youtube.com/channel/UC6Uo2ffY8Bie7FRTjvyqnog</v>
      </c>
      <c r="U27" s="90" t="s">
        <v>1185</v>
      </c>
      <c r="V27" s="90" t="s">
        <v>1227</v>
      </c>
      <c r="W27" s="93" t="str">
        <f>HYPERLINK("https://www.youtube.com/watch?v=")</f>
        <v>https://www.youtube.com/watch?v=</v>
      </c>
      <c r="X27" s="90" t="s">
        <v>326</v>
      </c>
      <c r="Y27" s="90">
        <v>3</v>
      </c>
      <c r="Z27" s="96">
        <v>43912.58760416666</v>
      </c>
      <c r="AA27" s="96">
        <v>43912.58760416666</v>
      </c>
      <c r="AB27" s="90"/>
      <c r="AC27" s="90"/>
      <c r="AD27" s="90"/>
      <c r="AE27" s="90">
        <v>1</v>
      </c>
      <c r="AF27" s="89" t="str">
        <f>REPLACE(INDEX(GroupVertices[Group],MATCH(Edges[[#This Row],[Vertex 1]],GroupVertices[Vertex],0)),1,1,"")</f>
        <v>5</v>
      </c>
      <c r="AG27" s="89" t="str">
        <f>REPLACE(INDEX(GroupVertices[Group],MATCH(Edges[[#This Row],[Vertex 2]],GroupVertices[Vertex],0)),1,1,"")</f>
        <v>5</v>
      </c>
      <c r="AH27" s="48">
        <v>1</v>
      </c>
      <c r="AI27" s="49">
        <v>5.2631578947368425</v>
      </c>
      <c r="AJ27" s="48">
        <v>1</v>
      </c>
      <c r="AK27" s="49">
        <v>5.2631578947368425</v>
      </c>
      <c r="AL27" s="48">
        <v>0</v>
      </c>
      <c r="AM27" s="49">
        <v>0</v>
      </c>
      <c r="AN27" s="48">
        <v>17</v>
      </c>
      <c r="AO27" s="49">
        <v>89.47368421052632</v>
      </c>
      <c r="AP27" s="48">
        <v>19</v>
      </c>
    </row>
    <row r="28" spans="1:42" ht="15">
      <c r="A28" s="66" t="s">
        <v>785</v>
      </c>
      <c r="B28" s="66" t="s">
        <v>791</v>
      </c>
      <c r="C28" s="67" t="s">
        <v>743</v>
      </c>
      <c r="D28" s="68">
        <v>3</v>
      </c>
      <c r="E28" s="69"/>
      <c r="F28" s="70">
        <v>50</v>
      </c>
      <c r="G28" s="67"/>
      <c r="H28" s="71"/>
      <c r="I28" s="72"/>
      <c r="J28" s="72"/>
      <c r="K28" s="34" t="s">
        <v>65</v>
      </c>
      <c r="L28" s="79">
        <v>28</v>
      </c>
      <c r="M28" s="79"/>
      <c r="N28" s="74"/>
      <c r="O28" s="90" t="s">
        <v>322</v>
      </c>
      <c r="P28" s="90" t="s">
        <v>324</v>
      </c>
      <c r="Q28" s="90" t="s">
        <v>901</v>
      </c>
      <c r="R28" s="90" t="s">
        <v>785</v>
      </c>
      <c r="S28" s="90" t="s">
        <v>1092</v>
      </c>
      <c r="T28" s="93" t="str">
        <f>HYPERLINK("http://www.youtube.com/channel/UCJJBoNgLMuT2OEwqKxqd74Q")</f>
        <v>http://www.youtube.com/channel/UCJJBoNgLMuT2OEwqKxqd74Q</v>
      </c>
      <c r="U28" s="90" t="s">
        <v>1185</v>
      </c>
      <c r="V28" s="90" t="s">
        <v>1227</v>
      </c>
      <c r="W28" s="93" t="str">
        <f>HYPERLINK("https://www.youtube.com/watch?v=")</f>
        <v>https://www.youtube.com/watch?v=</v>
      </c>
      <c r="X28" s="90" t="s">
        <v>326</v>
      </c>
      <c r="Y28" s="90">
        <v>2</v>
      </c>
      <c r="Z28" s="96">
        <v>43912.59390046296</v>
      </c>
      <c r="AA28" s="96">
        <v>43912.59390046296</v>
      </c>
      <c r="AB28" s="90"/>
      <c r="AC28" s="90"/>
      <c r="AD28" s="90"/>
      <c r="AE28" s="90">
        <v>1</v>
      </c>
      <c r="AF28" s="89" t="str">
        <f>REPLACE(INDEX(GroupVertices[Group],MATCH(Edges[[#This Row],[Vertex 1]],GroupVertices[Vertex],0)),1,1,"")</f>
        <v>5</v>
      </c>
      <c r="AG28" s="89" t="str">
        <f>REPLACE(INDEX(GroupVertices[Group],MATCH(Edges[[#This Row],[Vertex 2]],GroupVertices[Vertex],0)),1,1,"")</f>
        <v>5</v>
      </c>
      <c r="AH28" s="48">
        <v>0</v>
      </c>
      <c r="AI28" s="49">
        <v>0</v>
      </c>
      <c r="AJ28" s="48">
        <v>2</v>
      </c>
      <c r="AK28" s="49">
        <v>6.666666666666667</v>
      </c>
      <c r="AL28" s="48">
        <v>0</v>
      </c>
      <c r="AM28" s="49">
        <v>0</v>
      </c>
      <c r="AN28" s="48">
        <v>28</v>
      </c>
      <c r="AO28" s="49">
        <v>93.33333333333333</v>
      </c>
      <c r="AP28" s="48">
        <v>30</v>
      </c>
    </row>
    <row r="29" spans="1:42" ht="15">
      <c r="A29" s="66" t="s">
        <v>786</v>
      </c>
      <c r="B29" s="66" t="s">
        <v>791</v>
      </c>
      <c r="C29" s="67" t="s">
        <v>743</v>
      </c>
      <c r="D29" s="68">
        <v>3</v>
      </c>
      <c r="E29" s="69"/>
      <c r="F29" s="70">
        <v>50</v>
      </c>
      <c r="G29" s="67"/>
      <c r="H29" s="71"/>
      <c r="I29" s="72"/>
      <c r="J29" s="72"/>
      <c r="K29" s="34" t="s">
        <v>65</v>
      </c>
      <c r="L29" s="79">
        <v>29</v>
      </c>
      <c r="M29" s="79"/>
      <c r="N29" s="74"/>
      <c r="O29" s="90" t="s">
        <v>322</v>
      </c>
      <c r="P29" s="90" t="s">
        <v>324</v>
      </c>
      <c r="Q29" s="90" t="s">
        <v>902</v>
      </c>
      <c r="R29" s="90" t="s">
        <v>786</v>
      </c>
      <c r="S29" s="90" t="s">
        <v>1093</v>
      </c>
      <c r="T29" s="93" t="str">
        <f>HYPERLINK("http://www.youtube.com/channel/UCOrav9J_4AA_YhwEKB6GsBA")</f>
        <v>http://www.youtube.com/channel/UCOrav9J_4AA_YhwEKB6GsBA</v>
      </c>
      <c r="U29" s="90" t="s">
        <v>1185</v>
      </c>
      <c r="V29" s="90" t="s">
        <v>1227</v>
      </c>
      <c r="W29" s="93" t="str">
        <f>HYPERLINK("https://www.youtube.com/watch?v=")</f>
        <v>https://www.youtube.com/watch?v=</v>
      </c>
      <c r="X29" s="90" t="s">
        <v>326</v>
      </c>
      <c r="Y29" s="90">
        <v>1</v>
      </c>
      <c r="Z29" s="96">
        <v>43912.6312962963</v>
      </c>
      <c r="AA29" s="96">
        <v>43912.6312962963</v>
      </c>
      <c r="AB29" s="90"/>
      <c r="AC29" s="90"/>
      <c r="AD29" s="90"/>
      <c r="AE29" s="90">
        <v>1</v>
      </c>
      <c r="AF29" s="89" t="str">
        <f>REPLACE(INDEX(GroupVertices[Group],MATCH(Edges[[#This Row],[Vertex 1]],GroupVertices[Vertex],0)),1,1,"")</f>
        <v>5</v>
      </c>
      <c r="AG29" s="89" t="str">
        <f>REPLACE(INDEX(GroupVertices[Group],MATCH(Edges[[#This Row],[Vertex 2]],GroupVertices[Vertex],0)),1,1,"")</f>
        <v>5</v>
      </c>
      <c r="AH29" s="48">
        <v>1</v>
      </c>
      <c r="AI29" s="49">
        <v>4.166666666666667</v>
      </c>
      <c r="AJ29" s="48">
        <v>0</v>
      </c>
      <c r="AK29" s="49">
        <v>0</v>
      </c>
      <c r="AL29" s="48">
        <v>0</v>
      </c>
      <c r="AM29" s="49">
        <v>0</v>
      </c>
      <c r="AN29" s="48">
        <v>23</v>
      </c>
      <c r="AO29" s="49">
        <v>95.83333333333333</v>
      </c>
      <c r="AP29" s="48">
        <v>24</v>
      </c>
    </row>
    <row r="30" spans="1:42" ht="15">
      <c r="A30" s="66" t="s">
        <v>787</v>
      </c>
      <c r="B30" s="66" t="s">
        <v>791</v>
      </c>
      <c r="C30" s="67" t="s">
        <v>743</v>
      </c>
      <c r="D30" s="68">
        <v>3</v>
      </c>
      <c r="E30" s="69"/>
      <c r="F30" s="70">
        <v>50</v>
      </c>
      <c r="G30" s="67"/>
      <c r="H30" s="71"/>
      <c r="I30" s="72"/>
      <c r="J30" s="72"/>
      <c r="K30" s="34" t="s">
        <v>65</v>
      </c>
      <c r="L30" s="79">
        <v>30</v>
      </c>
      <c r="M30" s="79"/>
      <c r="N30" s="74"/>
      <c r="O30" s="90" t="s">
        <v>322</v>
      </c>
      <c r="P30" s="90" t="s">
        <v>324</v>
      </c>
      <c r="Q30" s="90" t="s">
        <v>903</v>
      </c>
      <c r="R30" s="90" t="s">
        <v>787</v>
      </c>
      <c r="S30" s="90" t="s">
        <v>1094</v>
      </c>
      <c r="T30" s="93" t="str">
        <f>HYPERLINK("http://www.youtube.com/channel/UCRNjXS-Xvgsjau1kpPWOtIw")</f>
        <v>http://www.youtube.com/channel/UCRNjXS-Xvgsjau1kpPWOtIw</v>
      </c>
      <c r="U30" s="90" t="s">
        <v>1185</v>
      </c>
      <c r="V30" s="90" t="s">
        <v>1227</v>
      </c>
      <c r="W30" s="93" t="str">
        <f>HYPERLINK("https://www.youtube.com/watch?v=")</f>
        <v>https://www.youtube.com/watch?v=</v>
      </c>
      <c r="X30" s="90" t="s">
        <v>326</v>
      </c>
      <c r="Y30" s="90">
        <v>1</v>
      </c>
      <c r="Z30" s="96">
        <v>43912.701377314814</v>
      </c>
      <c r="AA30" s="96">
        <v>43912.701377314814</v>
      </c>
      <c r="AB30" s="90"/>
      <c r="AC30" s="90"/>
      <c r="AD30" s="90"/>
      <c r="AE30" s="90">
        <v>1</v>
      </c>
      <c r="AF30" s="89" t="str">
        <f>REPLACE(INDEX(GroupVertices[Group],MATCH(Edges[[#This Row],[Vertex 1]],GroupVertices[Vertex],0)),1,1,"")</f>
        <v>5</v>
      </c>
      <c r="AG30" s="89" t="str">
        <f>REPLACE(INDEX(GroupVertices[Group],MATCH(Edges[[#This Row],[Vertex 2]],GroupVertices[Vertex],0)),1,1,"")</f>
        <v>5</v>
      </c>
      <c r="AH30" s="48">
        <v>0</v>
      </c>
      <c r="AI30" s="49">
        <v>0</v>
      </c>
      <c r="AJ30" s="48">
        <v>2</v>
      </c>
      <c r="AK30" s="49">
        <v>28.571428571428573</v>
      </c>
      <c r="AL30" s="48">
        <v>0</v>
      </c>
      <c r="AM30" s="49">
        <v>0</v>
      </c>
      <c r="AN30" s="48">
        <v>5</v>
      </c>
      <c r="AO30" s="49">
        <v>71.42857142857143</v>
      </c>
      <c r="AP30" s="48">
        <v>7</v>
      </c>
    </row>
    <row r="31" spans="1:42" ht="15">
      <c r="A31" s="66" t="s">
        <v>788</v>
      </c>
      <c r="B31" s="66" t="s">
        <v>791</v>
      </c>
      <c r="C31" s="67" t="s">
        <v>743</v>
      </c>
      <c r="D31" s="68">
        <v>3</v>
      </c>
      <c r="E31" s="69"/>
      <c r="F31" s="70">
        <v>50</v>
      </c>
      <c r="G31" s="67"/>
      <c r="H31" s="71"/>
      <c r="I31" s="72"/>
      <c r="J31" s="72"/>
      <c r="K31" s="34" t="s">
        <v>65</v>
      </c>
      <c r="L31" s="79">
        <v>31</v>
      </c>
      <c r="M31" s="79"/>
      <c r="N31" s="74"/>
      <c r="O31" s="90" t="s">
        <v>322</v>
      </c>
      <c r="P31" s="90" t="s">
        <v>324</v>
      </c>
      <c r="Q31" s="90" t="s">
        <v>904</v>
      </c>
      <c r="R31" s="90" t="s">
        <v>788</v>
      </c>
      <c r="S31" s="90" t="s">
        <v>1095</v>
      </c>
      <c r="T31" s="93" t="str">
        <f>HYPERLINK("http://www.youtube.com/channel/UC2bxB4kLFJJgl28Xg749ufQ")</f>
        <v>http://www.youtube.com/channel/UC2bxB4kLFJJgl28Xg749ufQ</v>
      </c>
      <c r="U31" s="90" t="s">
        <v>1185</v>
      </c>
      <c r="V31" s="90" t="s">
        <v>1227</v>
      </c>
      <c r="W31" s="93" t="str">
        <f>HYPERLINK("https://www.youtube.com/watch?v=")</f>
        <v>https://www.youtube.com/watch?v=</v>
      </c>
      <c r="X31" s="90" t="s">
        <v>326</v>
      </c>
      <c r="Y31" s="90">
        <v>1</v>
      </c>
      <c r="Z31" s="96">
        <v>43912.849652777775</v>
      </c>
      <c r="AA31" s="96">
        <v>43912.849652777775</v>
      </c>
      <c r="AB31" s="90"/>
      <c r="AC31" s="90"/>
      <c r="AD31" s="90"/>
      <c r="AE31" s="90">
        <v>1</v>
      </c>
      <c r="AF31" s="89" t="str">
        <f>REPLACE(INDEX(GroupVertices[Group],MATCH(Edges[[#This Row],[Vertex 1]],GroupVertices[Vertex],0)),1,1,"")</f>
        <v>5</v>
      </c>
      <c r="AG31" s="89" t="str">
        <f>REPLACE(INDEX(GroupVertices[Group],MATCH(Edges[[#This Row],[Vertex 2]],GroupVertices[Vertex],0)),1,1,"")</f>
        <v>5</v>
      </c>
      <c r="AH31" s="48">
        <v>0</v>
      </c>
      <c r="AI31" s="49">
        <v>0</v>
      </c>
      <c r="AJ31" s="48">
        <v>0</v>
      </c>
      <c r="AK31" s="49">
        <v>0</v>
      </c>
      <c r="AL31" s="48">
        <v>0</v>
      </c>
      <c r="AM31" s="49">
        <v>0</v>
      </c>
      <c r="AN31" s="48">
        <v>11</v>
      </c>
      <c r="AO31" s="49">
        <v>100</v>
      </c>
      <c r="AP31" s="48">
        <v>11</v>
      </c>
    </row>
    <row r="32" spans="1:42" ht="15">
      <c r="A32" s="66" t="s">
        <v>789</v>
      </c>
      <c r="B32" s="66" t="s">
        <v>791</v>
      </c>
      <c r="C32" s="67" t="s">
        <v>743</v>
      </c>
      <c r="D32" s="68">
        <v>3</v>
      </c>
      <c r="E32" s="69"/>
      <c r="F32" s="70">
        <v>50</v>
      </c>
      <c r="G32" s="67"/>
      <c r="H32" s="71"/>
      <c r="I32" s="72"/>
      <c r="J32" s="72"/>
      <c r="K32" s="34" t="s">
        <v>65</v>
      </c>
      <c r="L32" s="79">
        <v>32</v>
      </c>
      <c r="M32" s="79"/>
      <c r="N32" s="74"/>
      <c r="O32" s="90" t="s">
        <v>322</v>
      </c>
      <c r="P32" s="90" t="s">
        <v>324</v>
      </c>
      <c r="Q32" s="90" t="s">
        <v>905</v>
      </c>
      <c r="R32" s="90" t="s">
        <v>789</v>
      </c>
      <c r="S32" s="90" t="s">
        <v>1096</v>
      </c>
      <c r="T32" s="93" t="str">
        <f>HYPERLINK("http://www.youtube.com/channel/UCyTcGBoN5yg6tR0luGdGE1w")</f>
        <v>http://www.youtube.com/channel/UCyTcGBoN5yg6tR0luGdGE1w</v>
      </c>
      <c r="U32" s="90" t="s">
        <v>1185</v>
      </c>
      <c r="V32" s="90" t="s">
        <v>1227</v>
      </c>
      <c r="W32" s="93" t="str">
        <f>HYPERLINK("https://www.youtube.com/watch?v=")</f>
        <v>https://www.youtube.com/watch?v=</v>
      </c>
      <c r="X32" s="90" t="s">
        <v>326</v>
      </c>
      <c r="Y32" s="90">
        <v>0</v>
      </c>
      <c r="Z32" s="96">
        <v>43913.37133101852</v>
      </c>
      <c r="AA32" s="96">
        <v>43913.37133101852</v>
      </c>
      <c r="AB32" s="90"/>
      <c r="AC32" s="90"/>
      <c r="AD32" s="90"/>
      <c r="AE32" s="90">
        <v>1</v>
      </c>
      <c r="AF32" s="89" t="str">
        <f>REPLACE(INDEX(GroupVertices[Group],MATCH(Edges[[#This Row],[Vertex 1]],GroupVertices[Vertex],0)),1,1,"")</f>
        <v>5</v>
      </c>
      <c r="AG32" s="89" t="str">
        <f>REPLACE(INDEX(GroupVertices[Group],MATCH(Edges[[#This Row],[Vertex 2]],GroupVertices[Vertex],0)),1,1,"")</f>
        <v>5</v>
      </c>
      <c r="AH32" s="48">
        <v>0</v>
      </c>
      <c r="AI32" s="49">
        <v>0</v>
      </c>
      <c r="AJ32" s="48">
        <v>0</v>
      </c>
      <c r="AK32" s="49">
        <v>0</v>
      </c>
      <c r="AL32" s="48">
        <v>0</v>
      </c>
      <c r="AM32" s="49">
        <v>0</v>
      </c>
      <c r="AN32" s="48">
        <v>11</v>
      </c>
      <c r="AO32" s="49">
        <v>100</v>
      </c>
      <c r="AP32" s="48">
        <v>11</v>
      </c>
    </row>
    <row r="33" spans="1:42" ht="15">
      <c r="A33" s="66" t="s">
        <v>790</v>
      </c>
      <c r="B33" s="66" t="s">
        <v>791</v>
      </c>
      <c r="C33" s="67" t="s">
        <v>743</v>
      </c>
      <c r="D33" s="68">
        <v>3</v>
      </c>
      <c r="E33" s="69"/>
      <c r="F33" s="70">
        <v>50</v>
      </c>
      <c r="G33" s="67"/>
      <c r="H33" s="71"/>
      <c r="I33" s="72"/>
      <c r="J33" s="72"/>
      <c r="K33" s="34" t="s">
        <v>65</v>
      </c>
      <c r="L33" s="79">
        <v>33</v>
      </c>
      <c r="M33" s="79"/>
      <c r="N33" s="74"/>
      <c r="O33" s="90" t="s">
        <v>322</v>
      </c>
      <c r="P33" s="90" t="s">
        <v>324</v>
      </c>
      <c r="Q33" s="90" t="s">
        <v>906</v>
      </c>
      <c r="R33" s="90" t="s">
        <v>790</v>
      </c>
      <c r="S33" s="90" t="s">
        <v>1097</v>
      </c>
      <c r="T33" s="93" t="str">
        <f>HYPERLINK("http://www.youtube.com/channel/UC86XgDGeeokFIkMDP3shLaQ")</f>
        <v>http://www.youtube.com/channel/UC86XgDGeeokFIkMDP3shLaQ</v>
      </c>
      <c r="U33" s="90" t="s">
        <v>1185</v>
      </c>
      <c r="V33" s="90" t="s">
        <v>1227</v>
      </c>
      <c r="W33" s="93" t="str">
        <f>HYPERLINK("https://www.youtube.com/watch?v=")</f>
        <v>https://www.youtube.com/watch?v=</v>
      </c>
      <c r="X33" s="90" t="s">
        <v>326</v>
      </c>
      <c r="Y33" s="90">
        <v>0</v>
      </c>
      <c r="Z33" s="96">
        <v>43913.38271990741</v>
      </c>
      <c r="AA33" s="96">
        <v>43913.38271990741</v>
      </c>
      <c r="AB33" s="90"/>
      <c r="AC33" s="90"/>
      <c r="AD33" s="90"/>
      <c r="AE33" s="90">
        <v>1</v>
      </c>
      <c r="AF33" s="89" t="str">
        <f>REPLACE(INDEX(GroupVertices[Group],MATCH(Edges[[#This Row],[Vertex 1]],GroupVertices[Vertex],0)),1,1,"")</f>
        <v>5</v>
      </c>
      <c r="AG33" s="89" t="str">
        <f>REPLACE(INDEX(GroupVertices[Group],MATCH(Edges[[#This Row],[Vertex 2]],GroupVertices[Vertex],0)),1,1,"")</f>
        <v>5</v>
      </c>
      <c r="AH33" s="48">
        <v>0</v>
      </c>
      <c r="AI33" s="49">
        <v>0</v>
      </c>
      <c r="AJ33" s="48">
        <v>2</v>
      </c>
      <c r="AK33" s="49">
        <v>20</v>
      </c>
      <c r="AL33" s="48">
        <v>0</v>
      </c>
      <c r="AM33" s="49">
        <v>0</v>
      </c>
      <c r="AN33" s="48">
        <v>8</v>
      </c>
      <c r="AO33" s="49">
        <v>80</v>
      </c>
      <c r="AP33" s="48">
        <v>10</v>
      </c>
    </row>
    <row r="34" spans="1:42" ht="15">
      <c r="A34" s="66" t="s">
        <v>778</v>
      </c>
      <c r="B34" s="66" t="s">
        <v>791</v>
      </c>
      <c r="C34" s="67" t="s">
        <v>743</v>
      </c>
      <c r="D34" s="68">
        <v>3</v>
      </c>
      <c r="E34" s="69"/>
      <c r="F34" s="70">
        <v>50</v>
      </c>
      <c r="G34" s="67"/>
      <c r="H34" s="71"/>
      <c r="I34" s="72"/>
      <c r="J34" s="72"/>
      <c r="K34" s="34" t="s">
        <v>65</v>
      </c>
      <c r="L34" s="79">
        <v>34</v>
      </c>
      <c r="M34" s="79"/>
      <c r="N34" s="74"/>
      <c r="O34" s="90" t="s">
        <v>322</v>
      </c>
      <c r="P34" s="90" t="s">
        <v>324</v>
      </c>
      <c r="Q34" s="90" t="s">
        <v>907</v>
      </c>
      <c r="R34" s="90" t="s">
        <v>778</v>
      </c>
      <c r="S34" s="90" t="s">
        <v>1085</v>
      </c>
      <c r="T34" s="93" t="str">
        <f>HYPERLINK("http://www.youtube.com/channel/UCvFvo310EFTNVcGfu0vvTPg")</f>
        <v>http://www.youtube.com/channel/UCvFvo310EFTNVcGfu0vvTPg</v>
      </c>
      <c r="U34" s="90" t="s">
        <v>1185</v>
      </c>
      <c r="V34" s="90" t="s">
        <v>1227</v>
      </c>
      <c r="W34" s="93" t="str">
        <f>HYPERLINK("https://www.youtube.com/watch?v=")</f>
        <v>https://www.youtube.com/watch?v=</v>
      </c>
      <c r="X34" s="90" t="s">
        <v>326</v>
      </c>
      <c r="Y34" s="90">
        <v>17</v>
      </c>
      <c r="Z34" s="96">
        <v>43912.52825231481</v>
      </c>
      <c r="AA34" s="96">
        <v>43912.52825231481</v>
      </c>
      <c r="AB34" s="90"/>
      <c r="AC34" s="90"/>
      <c r="AD34" s="90"/>
      <c r="AE34" s="90">
        <v>1</v>
      </c>
      <c r="AF34" s="89" t="str">
        <f>REPLACE(INDEX(GroupVertices[Group],MATCH(Edges[[#This Row],[Vertex 1]],GroupVertices[Vertex],0)),1,1,"")</f>
        <v>3</v>
      </c>
      <c r="AG34" s="89" t="str">
        <f>REPLACE(INDEX(GroupVertices[Group],MATCH(Edges[[#This Row],[Vertex 2]],GroupVertices[Vertex],0)),1,1,"")</f>
        <v>5</v>
      </c>
      <c r="AH34" s="48">
        <v>1</v>
      </c>
      <c r="AI34" s="49">
        <v>0.704225352112676</v>
      </c>
      <c r="AJ34" s="48">
        <v>10</v>
      </c>
      <c r="AK34" s="49">
        <v>7.042253521126761</v>
      </c>
      <c r="AL34" s="48">
        <v>0</v>
      </c>
      <c r="AM34" s="49">
        <v>0</v>
      </c>
      <c r="AN34" s="48">
        <v>131</v>
      </c>
      <c r="AO34" s="49">
        <v>92.25352112676056</v>
      </c>
      <c r="AP34" s="48">
        <v>142</v>
      </c>
    </row>
    <row r="35" spans="1:42" ht="15">
      <c r="A35" s="66" t="s">
        <v>791</v>
      </c>
      <c r="B35" s="66" t="s">
        <v>876</v>
      </c>
      <c r="C35" s="67" t="s">
        <v>743</v>
      </c>
      <c r="D35" s="68">
        <v>3</v>
      </c>
      <c r="E35" s="69"/>
      <c r="F35" s="70">
        <v>50</v>
      </c>
      <c r="G35" s="67"/>
      <c r="H35" s="71"/>
      <c r="I35" s="72"/>
      <c r="J35" s="72"/>
      <c r="K35" s="34" t="s">
        <v>65</v>
      </c>
      <c r="L35" s="79">
        <v>35</v>
      </c>
      <c r="M35" s="79"/>
      <c r="N35" s="74"/>
      <c r="O35" s="90" t="s">
        <v>323</v>
      </c>
      <c r="P35" s="90" t="s">
        <v>308</v>
      </c>
      <c r="Q35" s="90" t="s">
        <v>908</v>
      </c>
      <c r="R35" s="90" t="s">
        <v>791</v>
      </c>
      <c r="S35" s="90" t="s">
        <v>1098</v>
      </c>
      <c r="T35" s="93" t="str">
        <f>HYPERLINK("http://www.youtube.com/channel/UCyX1u6BJ7pON23E-9mIXl8Q")</f>
        <v>http://www.youtube.com/channel/UCyX1u6BJ7pON23E-9mIXl8Q</v>
      </c>
      <c r="U35" s="90"/>
      <c r="V35" s="90" t="s">
        <v>1227</v>
      </c>
      <c r="W35" s="93" t="str">
        <f>HYPERLINK("https://www.youtube.com/watch?v=L3Ob_r4yk60")</f>
        <v>https://www.youtube.com/watch?v=L3Ob_r4yk60</v>
      </c>
      <c r="X35" s="90" t="s">
        <v>326</v>
      </c>
      <c r="Y35" s="90">
        <v>207</v>
      </c>
      <c r="Z35" s="96">
        <v>43912.45377314815</v>
      </c>
      <c r="AA35" s="96">
        <v>43912.45377314815</v>
      </c>
      <c r="AB35" s="90"/>
      <c r="AC35" s="90"/>
      <c r="AD35" s="90"/>
      <c r="AE35" s="90">
        <v>1</v>
      </c>
      <c r="AF35" s="89" t="str">
        <f>REPLACE(INDEX(GroupVertices[Group],MATCH(Edges[[#This Row],[Vertex 1]],GroupVertices[Vertex],0)),1,1,"")</f>
        <v>5</v>
      </c>
      <c r="AG35" s="89" t="str">
        <f>REPLACE(INDEX(GroupVertices[Group],MATCH(Edges[[#This Row],[Vertex 2]],GroupVertices[Vertex],0)),1,1,"")</f>
        <v>1</v>
      </c>
      <c r="AH35" s="48">
        <v>4</v>
      </c>
      <c r="AI35" s="49">
        <v>12.121212121212121</v>
      </c>
      <c r="AJ35" s="48">
        <v>0</v>
      </c>
      <c r="AK35" s="49">
        <v>0</v>
      </c>
      <c r="AL35" s="48">
        <v>0</v>
      </c>
      <c r="AM35" s="49">
        <v>0</v>
      </c>
      <c r="AN35" s="48">
        <v>29</v>
      </c>
      <c r="AO35" s="49">
        <v>87.87878787878788</v>
      </c>
      <c r="AP35" s="48">
        <v>33</v>
      </c>
    </row>
    <row r="36" spans="1:42" ht="15">
      <c r="A36" s="66" t="s">
        <v>792</v>
      </c>
      <c r="B36" s="66" t="s">
        <v>793</v>
      </c>
      <c r="C36" s="67" t="s">
        <v>743</v>
      </c>
      <c r="D36" s="68">
        <v>3</v>
      </c>
      <c r="E36" s="69"/>
      <c r="F36" s="70">
        <v>50</v>
      </c>
      <c r="G36" s="67"/>
      <c r="H36" s="71"/>
      <c r="I36" s="72"/>
      <c r="J36" s="72"/>
      <c r="K36" s="34" t="s">
        <v>65</v>
      </c>
      <c r="L36" s="79">
        <v>36</v>
      </c>
      <c r="M36" s="79"/>
      <c r="N36" s="74"/>
      <c r="O36" s="90" t="s">
        <v>322</v>
      </c>
      <c r="P36" s="90" t="s">
        <v>324</v>
      </c>
      <c r="Q36" s="90" t="s">
        <v>909</v>
      </c>
      <c r="R36" s="90" t="s">
        <v>792</v>
      </c>
      <c r="S36" s="90" t="s">
        <v>1099</v>
      </c>
      <c r="T36" s="93" t="str">
        <f>HYPERLINK("http://www.youtube.com/channel/UCoWqIAlBNV5YVv_KUziEPpg")</f>
        <v>http://www.youtube.com/channel/UCoWqIAlBNV5YVv_KUziEPpg</v>
      </c>
      <c r="U36" s="90" t="s">
        <v>1186</v>
      </c>
      <c r="V36" s="90" t="s">
        <v>1227</v>
      </c>
      <c r="W36" s="93" t="str">
        <f>HYPERLINK("https://www.youtube.com/watch?v=L3Ob_r4yk60")</f>
        <v>https://www.youtube.com/watch?v=L3Ob_r4yk60</v>
      </c>
      <c r="X36" s="90" t="s">
        <v>326</v>
      </c>
      <c r="Y36" s="90">
        <v>3</v>
      </c>
      <c r="Z36" s="96">
        <v>43912.46082175926</v>
      </c>
      <c r="AA36" s="96">
        <v>43912.46082175926</v>
      </c>
      <c r="AB36" s="90"/>
      <c r="AC36" s="90"/>
      <c r="AD36" s="90"/>
      <c r="AE36" s="90">
        <v>1</v>
      </c>
      <c r="AF36" s="89" t="str">
        <f>REPLACE(INDEX(GroupVertices[Group],MATCH(Edges[[#This Row],[Vertex 1]],GroupVertices[Vertex],0)),1,1,"")</f>
        <v>1</v>
      </c>
      <c r="AG36" s="89" t="str">
        <f>REPLACE(INDEX(GroupVertices[Group],MATCH(Edges[[#This Row],[Vertex 2]],GroupVertices[Vertex],0)),1,1,"")</f>
        <v>1</v>
      </c>
      <c r="AH36" s="48">
        <v>1</v>
      </c>
      <c r="AI36" s="49">
        <v>20</v>
      </c>
      <c r="AJ36" s="48">
        <v>0</v>
      </c>
      <c r="AK36" s="49">
        <v>0</v>
      </c>
      <c r="AL36" s="48">
        <v>0</v>
      </c>
      <c r="AM36" s="49">
        <v>0</v>
      </c>
      <c r="AN36" s="48">
        <v>4</v>
      </c>
      <c r="AO36" s="49">
        <v>80</v>
      </c>
      <c r="AP36" s="48">
        <v>5</v>
      </c>
    </row>
    <row r="37" spans="1:42" ht="15">
      <c r="A37" s="66" t="s">
        <v>793</v>
      </c>
      <c r="B37" s="66" t="s">
        <v>876</v>
      </c>
      <c r="C37" s="67" t="s">
        <v>743</v>
      </c>
      <c r="D37" s="68">
        <v>3</v>
      </c>
      <c r="E37" s="69"/>
      <c r="F37" s="70">
        <v>50</v>
      </c>
      <c r="G37" s="67"/>
      <c r="H37" s="71"/>
      <c r="I37" s="72"/>
      <c r="J37" s="72"/>
      <c r="K37" s="34" t="s">
        <v>65</v>
      </c>
      <c r="L37" s="79">
        <v>37</v>
      </c>
      <c r="M37" s="79"/>
      <c r="N37" s="74"/>
      <c r="O37" s="90" t="s">
        <v>323</v>
      </c>
      <c r="P37" s="90" t="s">
        <v>308</v>
      </c>
      <c r="Q37" s="90" t="s">
        <v>910</v>
      </c>
      <c r="R37" s="90" t="s">
        <v>793</v>
      </c>
      <c r="S37" s="90" t="s">
        <v>1100</v>
      </c>
      <c r="T37" s="93" t="str">
        <f>HYPERLINK("http://www.youtube.com/channel/UCvjWMupg9Kuzj-JBpco4L1g")</f>
        <v>http://www.youtube.com/channel/UCvjWMupg9Kuzj-JBpco4L1g</v>
      </c>
      <c r="U37" s="90"/>
      <c r="V37" s="90" t="s">
        <v>1227</v>
      </c>
      <c r="W37" s="93" t="str">
        <f>HYPERLINK("https://www.youtube.com/watch?v=L3Ob_r4yk60")</f>
        <v>https://www.youtube.com/watch?v=L3Ob_r4yk60</v>
      </c>
      <c r="X37" s="90" t="s">
        <v>326</v>
      </c>
      <c r="Y37" s="90">
        <v>32</v>
      </c>
      <c r="Z37" s="96">
        <v>43912.45379629629</v>
      </c>
      <c r="AA37" s="96">
        <v>43912.45379629629</v>
      </c>
      <c r="AB37" s="90"/>
      <c r="AC37" s="90"/>
      <c r="AD37" s="90"/>
      <c r="AE37" s="90">
        <v>1</v>
      </c>
      <c r="AF37" s="89" t="str">
        <f>REPLACE(INDEX(GroupVertices[Group],MATCH(Edges[[#This Row],[Vertex 1]],GroupVertices[Vertex],0)),1,1,"")</f>
        <v>1</v>
      </c>
      <c r="AG37" s="89" t="str">
        <f>REPLACE(INDEX(GroupVertices[Group],MATCH(Edges[[#This Row],[Vertex 2]],GroupVertices[Vertex],0)),1,1,"")</f>
        <v>1</v>
      </c>
      <c r="AH37" s="48">
        <v>0</v>
      </c>
      <c r="AI37" s="49">
        <v>0</v>
      </c>
      <c r="AJ37" s="48">
        <v>0</v>
      </c>
      <c r="AK37" s="49">
        <v>0</v>
      </c>
      <c r="AL37" s="48">
        <v>0</v>
      </c>
      <c r="AM37" s="49">
        <v>0</v>
      </c>
      <c r="AN37" s="48">
        <v>6</v>
      </c>
      <c r="AO37" s="49">
        <v>100</v>
      </c>
      <c r="AP37" s="48">
        <v>6</v>
      </c>
    </row>
    <row r="38" spans="1:42" ht="15">
      <c r="A38" s="66" t="s">
        <v>794</v>
      </c>
      <c r="B38" s="66" t="s">
        <v>796</v>
      </c>
      <c r="C38" s="67" t="s">
        <v>743</v>
      </c>
      <c r="D38" s="68">
        <v>3</v>
      </c>
      <c r="E38" s="69"/>
      <c r="F38" s="70">
        <v>50</v>
      </c>
      <c r="G38" s="67"/>
      <c r="H38" s="71"/>
      <c r="I38" s="72"/>
      <c r="J38" s="72"/>
      <c r="K38" s="34" t="s">
        <v>65</v>
      </c>
      <c r="L38" s="79">
        <v>38</v>
      </c>
      <c r="M38" s="79"/>
      <c r="N38" s="74"/>
      <c r="O38" s="90" t="s">
        <v>322</v>
      </c>
      <c r="P38" s="90" t="s">
        <v>324</v>
      </c>
      <c r="Q38" s="90" t="s">
        <v>911</v>
      </c>
      <c r="R38" s="90" t="s">
        <v>794</v>
      </c>
      <c r="S38" s="90" t="s">
        <v>1101</v>
      </c>
      <c r="T38" s="93" t="str">
        <f>HYPERLINK("http://www.youtube.com/channel/UCKPAlKUaoq6_h3rj8AyguRg")</f>
        <v>http://www.youtube.com/channel/UCKPAlKUaoq6_h3rj8AyguRg</v>
      </c>
      <c r="U38" s="90" t="s">
        <v>1187</v>
      </c>
      <c r="V38" s="90" t="s">
        <v>1227</v>
      </c>
      <c r="W38" s="93" t="str">
        <f>HYPERLINK("https://www.youtube.com/watch?v=L3Ob_r4yk60")</f>
        <v>https://www.youtube.com/watch?v=L3Ob_r4yk60</v>
      </c>
      <c r="X38" s="90" t="s">
        <v>326</v>
      </c>
      <c r="Y38" s="90">
        <v>1</v>
      </c>
      <c r="Z38" s="96">
        <v>43913.624710648146</v>
      </c>
      <c r="AA38" s="96">
        <v>43913.624710648146</v>
      </c>
      <c r="AB38" s="90"/>
      <c r="AC38" s="90"/>
      <c r="AD38" s="90"/>
      <c r="AE38" s="90">
        <v>1</v>
      </c>
      <c r="AF38" s="89" t="str">
        <f>REPLACE(INDEX(GroupVertices[Group],MATCH(Edges[[#This Row],[Vertex 1]],GroupVertices[Vertex],0)),1,1,"")</f>
        <v>1</v>
      </c>
      <c r="AG38" s="89" t="str">
        <f>REPLACE(INDEX(GroupVertices[Group],MATCH(Edges[[#This Row],[Vertex 2]],GroupVertices[Vertex],0)),1,1,"")</f>
        <v>1</v>
      </c>
      <c r="AH38" s="48">
        <v>0</v>
      </c>
      <c r="AI38" s="49">
        <v>0</v>
      </c>
      <c r="AJ38" s="48">
        <v>1</v>
      </c>
      <c r="AK38" s="49">
        <v>3.225806451612903</v>
      </c>
      <c r="AL38" s="48">
        <v>0</v>
      </c>
      <c r="AM38" s="49">
        <v>0</v>
      </c>
      <c r="AN38" s="48">
        <v>30</v>
      </c>
      <c r="AO38" s="49">
        <v>96.7741935483871</v>
      </c>
      <c r="AP38" s="48">
        <v>31</v>
      </c>
    </row>
    <row r="39" spans="1:42" ht="15">
      <c r="A39" s="66" t="s">
        <v>795</v>
      </c>
      <c r="B39" s="66" t="s">
        <v>796</v>
      </c>
      <c r="C39" s="67" t="s">
        <v>743</v>
      </c>
      <c r="D39" s="68">
        <v>3</v>
      </c>
      <c r="E39" s="69"/>
      <c r="F39" s="70">
        <v>50</v>
      </c>
      <c r="G39" s="67"/>
      <c r="H39" s="71"/>
      <c r="I39" s="72"/>
      <c r="J39" s="72"/>
      <c r="K39" s="34" t="s">
        <v>65</v>
      </c>
      <c r="L39" s="79">
        <v>39</v>
      </c>
      <c r="M39" s="79"/>
      <c r="N39" s="74"/>
      <c r="O39" s="90" t="s">
        <v>322</v>
      </c>
      <c r="P39" s="90" t="s">
        <v>324</v>
      </c>
      <c r="Q39" s="90" t="s">
        <v>912</v>
      </c>
      <c r="R39" s="90" t="s">
        <v>795</v>
      </c>
      <c r="S39" s="90" t="s">
        <v>1102</v>
      </c>
      <c r="T39" s="93" t="str">
        <f>HYPERLINK("http://www.youtube.com/channel/UCwLvX1xSEvRJ0HxWIRIu6-g")</f>
        <v>http://www.youtube.com/channel/UCwLvX1xSEvRJ0HxWIRIu6-g</v>
      </c>
      <c r="U39" s="90" t="s">
        <v>1187</v>
      </c>
      <c r="V39" s="90" t="s">
        <v>1227</v>
      </c>
      <c r="W39" s="93" t="str">
        <f>HYPERLINK("https://www.youtube.com/watch?v=L3Ob_r4yk60")</f>
        <v>https://www.youtube.com/watch?v=L3Ob_r4yk60</v>
      </c>
      <c r="X39" s="90" t="s">
        <v>326</v>
      </c>
      <c r="Y39" s="90">
        <v>0</v>
      </c>
      <c r="Z39" s="96">
        <v>43914.12771990741</v>
      </c>
      <c r="AA39" s="96">
        <v>43914.12771990741</v>
      </c>
      <c r="AB39" s="90"/>
      <c r="AC39" s="90"/>
      <c r="AD39" s="90"/>
      <c r="AE39" s="90">
        <v>1</v>
      </c>
      <c r="AF39" s="89" t="str">
        <f>REPLACE(INDEX(GroupVertices[Group],MATCH(Edges[[#This Row],[Vertex 1]],GroupVertices[Vertex],0)),1,1,"")</f>
        <v>1</v>
      </c>
      <c r="AG39" s="89" t="str">
        <f>REPLACE(INDEX(GroupVertices[Group],MATCH(Edges[[#This Row],[Vertex 2]],GroupVertices[Vertex],0)),1,1,"")</f>
        <v>1</v>
      </c>
      <c r="AH39" s="48">
        <v>2</v>
      </c>
      <c r="AI39" s="49">
        <v>2.1052631578947367</v>
      </c>
      <c r="AJ39" s="48">
        <v>5</v>
      </c>
      <c r="AK39" s="49">
        <v>5.2631578947368425</v>
      </c>
      <c r="AL39" s="48">
        <v>0</v>
      </c>
      <c r="AM39" s="49">
        <v>0</v>
      </c>
      <c r="AN39" s="48">
        <v>88</v>
      </c>
      <c r="AO39" s="49">
        <v>92.63157894736842</v>
      </c>
      <c r="AP39" s="48">
        <v>95</v>
      </c>
    </row>
    <row r="40" spans="1:42" ht="15">
      <c r="A40" s="66" t="s">
        <v>796</v>
      </c>
      <c r="B40" s="66" t="s">
        <v>876</v>
      </c>
      <c r="C40" s="67" t="s">
        <v>743</v>
      </c>
      <c r="D40" s="68">
        <v>3</v>
      </c>
      <c r="E40" s="69"/>
      <c r="F40" s="70">
        <v>50</v>
      </c>
      <c r="G40" s="67"/>
      <c r="H40" s="71"/>
      <c r="I40" s="72"/>
      <c r="J40" s="72"/>
      <c r="K40" s="34" t="s">
        <v>65</v>
      </c>
      <c r="L40" s="79">
        <v>40</v>
      </c>
      <c r="M40" s="79"/>
      <c r="N40" s="74"/>
      <c r="O40" s="90" t="s">
        <v>323</v>
      </c>
      <c r="P40" s="90" t="s">
        <v>308</v>
      </c>
      <c r="Q40" s="90" t="s">
        <v>913</v>
      </c>
      <c r="R40" s="90" t="s">
        <v>796</v>
      </c>
      <c r="S40" s="90" t="s">
        <v>1103</v>
      </c>
      <c r="T40" s="93" t="str">
        <f>HYPERLINK("http://www.youtube.com/channel/UCI4AiCGAZDk7M_ecuqxNxNA")</f>
        <v>http://www.youtube.com/channel/UCI4AiCGAZDk7M_ecuqxNxNA</v>
      </c>
      <c r="U40" s="90"/>
      <c r="V40" s="90" t="s">
        <v>1227</v>
      </c>
      <c r="W40" s="93" t="str">
        <f>HYPERLINK("https://www.youtube.com/watch?v=L3Ob_r4yk60")</f>
        <v>https://www.youtube.com/watch?v=L3Ob_r4yk60</v>
      </c>
      <c r="X40" s="90" t="s">
        <v>326</v>
      </c>
      <c r="Y40" s="90">
        <v>58</v>
      </c>
      <c r="Z40" s="96">
        <v>43912.455</v>
      </c>
      <c r="AA40" s="96">
        <v>43912.455</v>
      </c>
      <c r="AB40" s="90"/>
      <c r="AC40" s="90"/>
      <c r="AD40" s="90"/>
      <c r="AE40" s="90">
        <v>1</v>
      </c>
      <c r="AF40" s="89" t="str">
        <f>REPLACE(INDEX(GroupVertices[Group],MATCH(Edges[[#This Row],[Vertex 1]],GroupVertices[Vertex],0)),1,1,"")</f>
        <v>1</v>
      </c>
      <c r="AG40" s="89" t="str">
        <f>REPLACE(INDEX(GroupVertices[Group],MATCH(Edges[[#This Row],[Vertex 2]],GroupVertices[Vertex],0)),1,1,"")</f>
        <v>1</v>
      </c>
      <c r="AH40" s="48">
        <v>0</v>
      </c>
      <c r="AI40" s="49">
        <v>0</v>
      </c>
      <c r="AJ40" s="48">
        <v>0</v>
      </c>
      <c r="AK40" s="49">
        <v>0</v>
      </c>
      <c r="AL40" s="48">
        <v>0</v>
      </c>
      <c r="AM40" s="49">
        <v>0</v>
      </c>
      <c r="AN40" s="48">
        <v>29</v>
      </c>
      <c r="AO40" s="49">
        <v>100</v>
      </c>
      <c r="AP40" s="48">
        <v>29</v>
      </c>
    </row>
    <row r="41" spans="1:42" ht="15">
      <c r="A41" s="66" t="s">
        <v>797</v>
      </c>
      <c r="B41" s="66" t="s">
        <v>802</v>
      </c>
      <c r="C41" s="67" t="s">
        <v>743</v>
      </c>
      <c r="D41" s="68">
        <v>3</v>
      </c>
      <c r="E41" s="69"/>
      <c r="F41" s="70">
        <v>50</v>
      </c>
      <c r="G41" s="67"/>
      <c r="H41" s="71"/>
      <c r="I41" s="72"/>
      <c r="J41" s="72"/>
      <c r="K41" s="34" t="s">
        <v>65</v>
      </c>
      <c r="L41" s="79">
        <v>41</v>
      </c>
      <c r="M41" s="79"/>
      <c r="N41" s="74"/>
      <c r="O41" s="90" t="s">
        <v>322</v>
      </c>
      <c r="P41" s="90" t="s">
        <v>324</v>
      </c>
      <c r="Q41" s="90" t="s">
        <v>914</v>
      </c>
      <c r="R41" s="90" t="s">
        <v>797</v>
      </c>
      <c r="S41" s="90" t="s">
        <v>1104</v>
      </c>
      <c r="T41" s="93" t="str">
        <f>HYPERLINK("http://www.youtube.com/channel/UCxB8kqvB0eNH6ORX6l1yPbg")</f>
        <v>http://www.youtube.com/channel/UCxB8kqvB0eNH6ORX6l1yPbg</v>
      </c>
      <c r="U41" s="90" t="s">
        <v>1188</v>
      </c>
      <c r="V41" s="90" t="s">
        <v>1227</v>
      </c>
      <c r="W41" s="93" t="str">
        <f>HYPERLINK("https://www.youtube.com/watch?v=")</f>
        <v>https://www.youtube.com/watch?v=</v>
      </c>
      <c r="X41" s="90" t="s">
        <v>326</v>
      </c>
      <c r="Y41" s="90">
        <v>1</v>
      </c>
      <c r="Z41" s="96">
        <v>43912.466944444444</v>
      </c>
      <c r="AA41" s="96">
        <v>43912.466944444444</v>
      </c>
      <c r="AB41" s="90"/>
      <c r="AC41" s="90"/>
      <c r="AD41" s="90"/>
      <c r="AE41" s="90">
        <v>1</v>
      </c>
      <c r="AF41" s="89" t="str">
        <f>REPLACE(INDEX(GroupVertices[Group],MATCH(Edges[[#This Row],[Vertex 1]],GroupVertices[Vertex],0)),1,1,"")</f>
        <v>8</v>
      </c>
      <c r="AG41" s="89" t="str">
        <f>REPLACE(INDEX(GroupVertices[Group],MATCH(Edges[[#This Row],[Vertex 2]],GroupVertices[Vertex],0)),1,1,"")</f>
        <v>8</v>
      </c>
      <c r="AH41" s="48">
        <v>0</v>
      </c>
      <c r="AI41" s="49">
        <v>0</v>
      </c>
      <c r="AJ41" s="48">
        <v>0</v>
      </c>
      <c r="AK41" s="49">
        <v>0</v>
      </c>
      <c r="AL41" s="48">
        <v>0</v>
      </c>
      <c r="AM41" s="49">
        <v>0</v>
      </c>
      <c r="AN41" s="48">
        <v>10</v>
      </c>
      <c r="AO41" s="49">
        <v>100</v>
      </c>
      <c r="AP41" s="48">
        <v>10</v>
      </c>
    </row>
    <row r="42" spans="1:42" ht="15">
      <c r="A42" s="66" t="s">
        <v>798</v>
      </c>
      <c r="B42" s="66" t="s">
        <v>802</v>
      </c>
      <c r="C42" s="67" t="s">
        <v>743</v>
      </c>
      <c r="D42" s="68">
        <v>3</v>
      </c>
      <c r="E42" s="69"/>
      <c r="F42" s="70">
        <v>50</v>
      </c>
      <c r="G42" s="67"/>
      <c r="H42" s="71"/>
      <c r="I42" s="72"/>
      <c r="J42" s="72"/>
      <c r="K42" s="34" t="s">
        <v>65</v>
      </c>
      <c r="L42" s="79">
        <v>42</v>
      </c>
      <c r="M42" s="79"/>
      <c r="N42" s="74"/>
      <c r="O42" s="90" t="s">
        <v>322</v>
      </c>
      <c r="P42" s="90" t="s">
        <v>324</v>
      </c>
      <c r="Q42" s="90" t="s">
        <v>915</v>
      </c>
      <c r="R42" s="90" t="s">
        <v>798</v>
      </c>
      <c r="S42" s="90" t="s">
        <v>1105</v>
      </c>
      <c r="T42" s="93" t="str">
        <f>HYPERLINK("http://www.youtube.com/channel/UChDa7-LeLEDuk7xkf7wHCbg")</f>
        <v>http://www.youtube.com/channel/UChDa7-LeLEDuk7xkf7wHCbg</v>
      </c>
      <c r="U42" s="90" t="s">
        <v>1188</v>
      </c>
      <c r="V42" s="90" t="s">
        <v>1227</v>
      </c>
      <c r="W42" s="93" t="str">
        <f>HYPERLINK("https://www.youtube.com/watch?v=")</f>
        <v>https://www.youtube.com/watch?v=</v>
      </c>
      <c r="X42" s="90" t="s">
        <v>326</v>
      </c>
      <c r="Y42" s="90">
        <v>7</v>
      </c>
      <c r="Z42" s="96">
        <v>43912.467094907406</v>
      </c>
      <c r="AA42" s="96">
        <v>43912.467094907406</v>
      </c>
      <c r="AB42" s="90"/>
      <c r="AC42" s="90"/>
      <c r="AD42" s="90"/>
      <c r="AE42" s="90">
        <v>1</v>
      </c>
      <c r="AF42" s="89" t="str">
        <f>REPLACE(INDEX(GroupVertices[Group],MATCH(Edges[[#This Row],[Vertex 1]],GroupVertices[Vertex],0)),1,1,"")</f>
        <v>8</v>
      </c>
      <c r="AG42" s="89" t="str">
        <f>REPLACE(INDEX(GroupVertices[Group],MATCH(Edges[[#This Row],[Vertex 2]],GroupVertices[Vertex],0)),1,1,"")</f>
        <v>8</v>
      </c>
      <c r="AH42" s="48">
        <v>2</v>
      </c>
      <c r="AI42" s="49">
        <v>6.896551724137931</v>
      </c>
      <c r="AJ42" s="48">
        <v>1</v>
      </c>
      <c r="AK42" s="49">
        <v>3.4482758620689653</v>
      </c>
      <c r="AL42" s="48">
        <v>0</v>
      </c>
      <c r="AM42" s="49">
        <v>0</v>
      </c>
      <c r="AN42" s="48">
        <v>26</v>
      </c>
      <c r="AO42" s="49">
        <v>89.65517241379311</v>
      </c>
      <c r="AP42" s="48">
        <v>29</v>
      </c>
    </row>
    <row r="43" spans="1:42" ht="15">
      <c r="A43" s="66" t="s">
        <v>799</v>
      </c>
      <c r="B43" s="66" t="s">
        <v>802</v>
      </c>
      <c r="C43" s="67" t="s">
        <v>743</v>
      </c>
      <c r="D43" s="68">
        <v>3</v>
      </c>
      <c r="E43" s="69"/>
      <c r="F43" s="70">
        <v>50</v>
      </c>
      <c r="G43" s="67"/>
      <c r="H43" s="71"/>
      <c r="I43" s="72"/>
      <c r="J43" s="72"/>
      <c r="K43" s="34" t="s">
        <v>65</v>
      </c>
      <c r="L43" s="79">
        <v>43</v>
      </c>
      <c r="M43" s="79"/>
      <c r="N43" s="74"/>
      <c r="O43" s="90" t="s">
        <v>322</v>
      </c>
      <c r="P43" s="90" t="s">
        <v>324</v>
      </c>
      <c r="Q43" s="90" t="s">
        <v>916</v>
      </c>
      <c r="R43" s="90" t="s">
        <v>799</v>
      </c>
      <c r="S43" s="90" t="s">
        <v>1106</v>
      </c>
      <c r="T43" s="93" t="str">
        <f>HYPERLINK("http://www.youtube.com/channel/UCa9ECoAwB9PGwGp8HBr0ceA")</f>
        <v>http://www.youtube.com/channel/UCa9ECoAwB9PGwGp8HBr0ceA</v>
      </c>
      <c r="U43" s="90" t="s">
        <v>1188</v>
      </c>
      <c r="V43" s="90" t="s">
        <v>1227</v>
      </c>
      <c r="W43" s="93" t="str">
        <f>HYPERLINK("https://www.youtube.com/watch?v=")</f>
        <v>https://www.youtube.com/watch?v=</v>
      </c>
      <c r="X43" s="90" t="s">
        <v>326</v>
      </c>
      <c r="Y43" s="90">
        <v>0</v>
      </c>
      <c r="Z43" s="96">
        <v>43912.70922453704</v>
      </c>
      <c r="AA43" s="96">
        <v>43912.70922453704</v>
      </c>
      <c r="AB43" s="90"/>
      <c r="AC43" s="90"/>
      <c r="AD43" s="90"/>
      <c r="AE43" s="90">
        <v>1</v>
      </c>
      <c r="AF43" s="89" t="str">
        <f>REPLACE(INDEX(GroupVertices[Group],MATCH(Edges[[#This Row],[Vertex 1]],GroupVertices[Vertex],0)),1,1,"")</f>
        <v>8</v>
      </c>
      <c r="AG43" s="89" t="str">
        <f>REPLACE(INDEX(GroupVertices[Group],MATCH(Edges[[#This Row],[Vertex 2]],GroupVertices[Vertex],0)),1,1,"")</f>
        <v>8</v>
      </c>
      <c r="AH43" s="48">
        <v>1</v>
      </c>
      <c r="AI43" s="49">
        <v>8.333333333333334</v>
      </c>
      <c r="AJ43" s="48">
        <v>0</v>
      </c>
      <c r="AK43" s="49">
        <v>0</v>
      </c>
      <c r="AL43" s="48">
        <v>0</v>
      </c>
      <c r="AM43" s="49">
        <v>0</v>
      </c>
      <c r="AN43" s="48">
        <v>11</v>
      </c>
      <c r="AO43" s="49">
        <v>91.66666666666667</v>
      </c>
      <c r="AP43" s="48">
        <v>12</v>
      </c>
    </row>
    <row r="44" spans="1:42" ht="15">
      <c r="A44" s="66" t="s">
        <v>800</v>
      </c>
      <c r="B44" s="66" t="s">
        <v>802</v>
      </c>
      <c r="C44" s="67" t="s">
        <v>743</v>
      </c>
      <c r="D44" s="68">
        <v>3</v>
      </c>
      <c r="E44" s="69"/>
      <c r="F44" s="70">
        <v>50</v>
      </c>
      <c r="G44" s="67"/>
      <c r="H44" s="71"/>
      <c r="I44" s="72"/>
      <c r="J44" s="72"/>
      <c r="K44" s="34" t="s">
        <v>65</v>
      </c>
      <c r="L44" s="79">
        <v>44</v>
      </c>
      <c r="M44" s="79"/>
      <c r="N44" s="74"/>
      <c r="O44" s="90" t="s">
        <v>322</v>
      </c>
      <c r="P44" s="90" t="s">
        <v>324</v>
      </c>
      <c r="Q44" s="90" t="s">
        <v>917</v>
      </c>
      <c r="R44" s="90" t="s">
        <v>800</v>
      </c>
      <c r="S44" s="90" t="s">
        <v>1107</v>
      </c>
      <c r="T44" s="93" t="str">
        <f>HYPERLINK("http://www.youtube.com/channel/UCLswkNtcRTygrVqG-VufI9A")</f>
        <v>http://www.youtube.com/channel/UCLswkNtcRTygrVqG-VufI9A</v>
      </c>
      <c r="U44" s="90" t="s">
        <v>1188</v>
      </c>
      <c r="V44" s="90" t="s">
        <v>1227</v>
      </c>
      <c r="W44" s="93" t="str">
        <f>HYPERLINK("https://www.youtube.com/watch?v=")</f>
        <v>https://www.youtube.com/watch?v=</v>
      </c>
      <c r="X44" s="90" t="s">
        <v>326</v>
      </c>
      <c r="Y44" s="90">
        <v>11</v>
      </c>
      <c r="Z44" s="96">
        <v>43912.459872685184</v>
      </c>
      <c r="AA44" s="96">
        <v>43912.459872685184</v>
      </c>
      <c r="AB44" s="90"/>
      <c r="AC44" s="90"/>
      <c r="AD44" s="90"/>
      <c r="AE44" s="90">
        <v>1</v>
      </c>
      <c r="AF44" s="89" t="str">
        <f>REPLACE(INDEX(GroupVertices[Group],MATCH(Edges[[#This Row],[Vertex 1]],GroupVertices[Vertex],0)),1,1,"")</f>
        <v>8</v>
      </c>
      <c r="AG44" s="89" t="str">
        <f>REPLACE(INDEX(GroupVertices[Group],MATCH(Edges[[#This Row],[Vertex 2]],GroupVertices[Vertex],0)),1,1,"")</f>
        <v>8</v>
      </c>
      <c r="AH44" s="48">
        <v>0</v>
      </c>
      <c r="AI44" s="49">
        <v>0</v>
      </c>
      <c r="AJ44" s="48">
        <v>1</v>
      </c>
      <c r="AK44" s="49">
        <v>50</v>
      </c>
      <c r="AL44" s="48">
        <v>0</v>
      </c>
      <c r="AM44" s="49">
        <v>0</v>
      </c>
      <c r="AN44" s="48">
        <v>1</v>
      </c>
      <c r="AO44" s="49">
        <v>50</v>
      </c>
      <c r="AP44" s="48">
        <v>2</v>
      </c>
    </row>
    <row r="45" spans="1:42" ht="15">
      <c r="A45" s="66" t="s">
        <v>801</v>
      </c>
      <c r="B45" s="66" t="s">
        <v>802</v>
      </c>
      <c r="C45" s="67" t="s">
        <v>743</v>
      </c>
      <c r="D45" s="68">
        <v>3</v>
      </c>
      <c r="E45" s="69"/>
      <c r="F45" s="70">
        <v>50</v>
      </c>
      <c r="G45" s="67"/>
      <c r="H45" s="71"/>
      <c r="I45" s="72"/>
      <c r="J45" s="72"/>
      <c r="K45" s="34" t="s">
        <v>65</v>
      </c>
      <c r="L45" s="79">
        <v>45</v>
      </c>
      <c r="M45" s="79"/>
      <c r="N45" s="74"/>
      <c r="O45" s="90" t="s">
        <v>322</v>
      </c>
      <c r="P45" s="90" t="s">
        <v>324</v>
      </c>
      <c r="Q45" s="90" t="s">
        <v>918</v>
      </c>
      <c r="R45" s="90" t="s">
        <v>801</v>
      </c>
      <c r="S45" s="90" t="s">
        <v>1108</v>
      </c>
      <c r="T45" s="93" t="str">
        <f>HYPERLINK("http://www.youtube.com/channel/UC4GOUO7fjBrBfeRSiMAl31Q")</f>
        <v>http://www.youtube.com/channel/UC4GOUO7fjBrBfeRSiMAl31Q</v>
      </c>
      <c r="U45" s="90" t="s">
        <v>1188</v>
      </c>
      <c r="V45" s="90" t="s">
        <v>1227</v>
      </c>
      <c r="W45" s="93" t="str">
        <f>HYPERLINK("https://www.youtube.com/watch?v=")</f>
        <v>https://www.youtube.com/watch?v=</v>
      </c>
      <c r="X45" s="90" t="s">
        <v>326</v>
      </c>
      <c r="Y45" s="90">
        <v>6</v>
      </c>
      <c r="Z45" s="96">
        <v>43912.47770833333</v>
      </c>
      <c r="AA45" s="96">
        <v>43912.47770833333</v>
      </c>
      <c r="AB45" s="90"/>
      <c r="AC45" s="90"/>
      <c r="AD45" s="90"/>
      <c r="AE45" s="90">
        <v>1</v>
      </c>
      <c r="AF45" s="89" t="str">
        <f>REPLACE(INDEX(GroupVertices[Group],MATCH(Edges[[#This Row],[Vertex 1]],GroupVertices[Vertex],0)),1,1,"")</f>
        <v>8</v>
      </c>
      <c r="AG45" s="89" t="str">
        <f>REPLACE(INDEX(GroupVertices[Group],MATCH(Edges[[#This Row],[Vertex 2]],GroupVertices[Vertex],0)),1,1,"")</f>
        <v>8</v>
      </c>
      <c r="AH45" s="48">
        <v>1</v>
      </c>
      <c r="AI45" s="49">
        <v>2.857142857142857</v>
      </c>
      <c r="AJ45" s="48">
        <v>0</v>
      </c>
      <c r="AK45" s="49">
        <v>0</v>
      </c>
      <c r="AL45" s="48">
        <v>0</v>
      </c>
      <c r="AM45" s="49">
        <v>0</v>
      </c>
      <c r="AN45" s="48">
        <v>34</v>
      </c>
      <c r="AO45" s="49">
        <v>97.14285714285714</v>
      </c>
      <c r="AP45" s="48">
        <v>35</v>
      </c>
    </row>
    <row r="46" spans="1:42" ht="15">
      <c r="A46" s="66" t="s">
        <v>767</v>
      </c>
      <c r="B46" s="66" t="s">
        <v>802</v>
      </c>
      <c r="C46" s="67" t="s">
        <v>743</v>
      </c>
      <c r="D46" s="68">
        <v>3</v>
      </c>
      <c r="E46" s="69"/>
      <c r="F46" s="70">
        <v>50</v>
      </c>
      <c r="G46" s="67"/>
      <c r="H46" s="71"/>
      <c r="I46" s="72"/>
      <c r="J46" s="72"/>
      <c r="K46" s="34" t="s">
        <v>65</v>
      </c>
      <c r="L46" s="79">
        <v>46</v>
      </c>
      <c r="M46" s="79"/>
      <c r="N46" s="74"/>
      <c r="O46" s="90" t="s">
        <v>322</v>
      </c>
      <c r="P46" s="90" t="s">
        <v>324</v>
      </c>
      <c r="Q46" s="90" t="s">
        <v>919</v>
      </c>
      <c r="R46" s="90" t="s">
        <v>767</v>
      </c>
      <c r="S46" s="90" t="s">
        <v>1074</v>
      </c>
      <c r="T46" s="93" t="str">
        <f>HYPERLINK("http://www.youtube.com/channel/UCIykfDLsjZByMEXDU7XqVhg")</f>
        <v>http://www.youtube.com/channel/UCIykfDLsjZByMEXDU7XqVhg</v>
      </c>
      <c r="U46" s="90" t="s">
        <v>1188</v>
      </c>
      <c r="V46" s="90" t="s">
        <v>1227</v>
      </c>
      <c r="W46" s="93" t="str">
        <f>HYPERLINK("https://www.youtube.com/watch?v=")</f>
        <v>https://www.youtube.com/watch?v=</v>
      </c>
      <c r="X46" s="90" t="s">
        <v>326</v>
      </c>
      <c r="Y46" s="90">
        <v>0</v>
      </c>
      <c r="Z46" s="96">
        <v>43912.59693287037</v>
      </c>
      <c r="AA46" s="96">
        <v>43912.59693287037</v>
      </c>
      <c r="AB46" s="90"/>
      <c r="AC46" s="90"/>
      <c r="AD46" s="90"/>
      <c r="AE46" s="90">
        <v>1</v>
      </c>
      <c r="AF46" s="89" t="str">
        <f>REPLACE(INDEX(GroupVertices[Group],MATCH(Edges[[#This Row],[Vertex 1]],GroupVertices[Vertex],0)),1,1,"")</f>
        <v>1</v>
      </c>
      <c r="AG46" s="89" t="str">
        <f>REPLACE(INDEX(GroupVertices[Group],MATCH(Edges[[#This Row],[Vertex 2]],GroupVertices[Vertex],0)),1,1,"")</f>
        <v>8</v>
      </c>
      <c r="AH46" s="48">
        <v>0</v>
      </c>
      <c r="AI46" s="49">
        <v>0</v>
      </c>
      <c r="AJ46" s="48">
        <v>0</v>
      </c>
      <c r="AK46" s="49">
        <v>0</v>
      </c>
      <c r="AL46" s="48">
        <v>0</v>
      </c>
      <c r="AM46" s="49">
        <v>0</v>
      </c>
      <c r="AN46" s="48">
        <v>4</v>
      </c>
      <c r="AO46" s="49">
        <v>100</v>
      </c>
      <c r="AP46" s="48">
        <v>4</v>
      </c>
    </row>
    <row r="47" spans="1:42" ht="15">
      <c r="A47" s="66" t="s">
        <v>802</v>
      </c>
      <c r="B47" s="66" t="s">
        <v>876</v>
      </c>
      <c r="C47" s="67" t="s">
        <v>743</v>
      </c>
      <c r="D47" s="68">
        <v>3</v>
      </c>
      <c r="E47" s="69"/>
      <c r="F47" s="70">
        <v>50</v>
      </c>
      <c r="G47" s="67"/>
      <c r="H47" s="71"/>
      <c r="I47" s="72"/>
      <c r="J47" s="72"/>
      <c r="K47" s="34" t="s">
        <v>65</v>
      </c>
      <c r="L47" s="79">
        <v>47</v>
      </c>
      <c r="M47" s="79"/>
      <c r="N47" s="74"/>
      <c r="O47" s="90" t="s">
        <v>323</v>
      </c>
      <c r="P47" s="90" t="s">
        <v>308</v>
      </c>
      <c r="Q47" s="90" t="s">
        <v>920</v>
      </c>
      <c r="R47" s="90" t="s">
        <v>802</v>
      </c>
      <c r="S47" s="90" t="s">
        <v>1109</v>
      </c>
      <c r="T47" s="93" t="str">
        <f>HYPERLINK("http://www.youtube.com/channel/UCaGhXr-kvN_GI1muhSsXTrg")</f>
        <v>http://www.youtube.com/channel/UCaGhXr-kvN_GI1muhSsXTrg</v>
      </c>
      <c r="U47" s="90"/>
      <c r="V47" s="90" t="s">
        <v>1227</v>
      </c>
      <c r="W47" s="93" t="str">
        <f>HYPERLINK("https://www.youtube.com/watch?v=L3Ob_r4yk60")</f>
        <v>https://www.youtube.com/watch?v=L3Ob_r4yk60</v>
      </c>
      <c r="X47" s="90" t="s">
        <v>326</v>
      </c>
      <c r="Y47" s="90">
        <v>1</v>
      </c>
      <c r="Z47" s="96">
        <v>43912.45836805556</v>
      </c>
      <c r="AA47" s="96">
        <v>43912.45836805556</v>
      </c>
      <c r="AB47" s="90"/>
      <c r="AC47" s="90"/>
      <c r="AD47" s="90"/>
      <c r="AE47" s="90">
        <v>1</v>
      </c>
      <c r="AF47" s="89" t="str">
        <f>REPLACE(INDEX(GroupVertices[Group],MATCH(Edges[[#This Row],[Vertex 1]],GroupVertices[Vertex],0)),1,1,"")</f>
        <v>8</v>
      </c>
      <c r="AG47" s="89" t="str">
        <f>REPLACE(INDEX(GroupVertices[Group],MATCH(Edges[[#This Row],[Vertex 2]],GroupVertices[Vertex],0)),1,1,"")</f>
        <v>1</v>
      </c>
      <c r="AH47" s="48">
        <v>3</v>
      </c>
      <c r="AI47" s="49">
        <v>4</v>
      </c>
      <c r="AJ47" s="48">
        <v>3</v>
      </c>
      <c r="AK47" s="49">
        <v>4</v>
      </c>
      <c r="AL47" s="48">
        <v>0</v>
      </c>
      <c r="AM47" s="49">
        <v>0</v>
      </c>
      <c r="AN47" s="48">
        <v>69</v>
      </c>
      <c r="AO47" s="49">
        <v>92</v>
      </c>
      <c r="AP47" s="48">
        <v>75</v>
      </c>
    </row>
    <row r="48" spans="1:42" ht="15">
      <c r="A48" s="66" t="s">
        <v>803</v>
      </c>
      <c r="B48" s="66" t="s">
        <v>804</v>
      </c>
      <c r="C48" s="67" t="s">
        <v>743</v>
      </c>
      <c r="D48" s="68">
        <v>3</v>
      </c>
      <c r="E48" s="69"/>
      <c r="F48" s="70">
        <v>50</v>
      </c>
      <c r="G48" s="67"/>
      <c r="H48" s="71"/>
      <c r="I48" s="72"/>
      <c r="J48" s="72"/>
      <c r="K48" s="34" t="s">
        <v>65</v>
      </c>
      <c r="L48" s="79">
        <v>48</v>
      </c>
      <c r="M48" s="79"/>
      <c r="N48" s="74"/>
      <c r="O48" s="90" t="s">
        <v>322</v>
      </c>
      <c r="P48" s="90" t="s">
        <v>324</v>
      </c>
      <c r="Q48" s="90" t="s">
        <v>921</v>
      </c>
      <c r="R48" s="90" t="s">
        <v>803</v>
      </c>
      <c r="S48" s="90" t="s">
        <v>1110</v>
      </c>
      <c r="T48" s="93" t="str">
        <f>HYPERLINK("http://www.youtube.com/channel/UCIMEtwv81uPCn_KmlW6iOlA")</f>
        <v>http://www.youtube.com/channel/UCIMEtwv81uPCn_KmlW6iOlA</v>
      </c>
      <c r="U48" s="90" t="s">
        <v>1189</v>
      </c>
      <c r="V48" s="90" t="s">
        <v>1227</v>
      </c>
      <c r="W48" s="93" t="str">
        <f>HYPERLINK("https://www.youtube.com/watch?v=L3Ob_r4yk60")</f>
        <v>https://www.youtube.com/watch?v=L3Ob_r4yk60</v>
      </c>
      <c r="X48" s="90" t="s">
        <v>326</v>
      </c>
      <c r="Y48" s="90">
        <v>4</v>
      </c>
      <c r="Z48" s="96">
        <v>43912.46141203704</v>
      </c>
      <c r="AA48" s="96">
        <v>43912.46141203704</v>
      </c>
      <c r="AB48" s="90"/>
      <c r="AC48" s="90"/>
      <c r="AD48" s="90"/>
      <c r="AE48" s="90">
        <v>1</v>
      </c>
      <c r="AF48" s="89" t="str">
        <f>REPLACE(INDEX(GroupVertices[Group],MATCH(Edges[[#This Row],[Vertex 1]],GroupVertices[Vertex],0)),1,1,"")</f>
        <v>1</v>
      </c>
      <c r="AG48" s="89" t="str">
        <f>REPLACE(INDEX(GroupVertices[Group],MATCH(Edges[[#This Row],[Vertex 2]],GroupVertices[Vertex],0)),1,1,"")</f>
        <v>1</v>
      </c>
      <c r="AH48" s="48">
        <v>0</v>
      </c>
      <c r="AI48" s="49">
        <v>0</v>
      </c>
      <c r="AJ48" s="48">
        <v>0</v>
      </c>
      <c r="AK48" s="49">
        <v>0</v>
      </c>
      <c r="AL48" s="48">
        <v>0</v>
      </c>
      <c r="AM48" s="49">
        <v>0</v>
      </c>
      <c r="AN48" s="48">
        <v>4</v>
      </c>
      <c r="AO48" s="49">
        <v>100</v>
      </c>
      <c r="AP48" s="48">
        <v>4</v>
      </c>
    </row>
    <row r="49" spans="1:42" ht="15">
      <c r="A49" s="66" t="s">
        <v>804</v>
      </c>
      <c r="B49" s="66" t="s">
        <v>876</v>
      </c>
      <c r="C49" s="67" t="s">
        <v>743</v>
      </c>
      <c r="D49" s="68">
        <v>3</v>
      </c>
      <c r="E49" s="69"/>
      <c r="F49" s="70">
        <v>50</v>
      </c>
      <c r="G49" s="67"/>
      <c r="H49" s="71"/>
      <c r="I49" s="72"/>
      <c r="J49" s="72"/>
      <c r="K49" s="34" t="s">
        <v>65</v>
      </c>
      <c r="L49" s="79">
        <v>49</v>
      </c>
      <c r="M49" s="79"/>
      <c r="N49" s="74"/>
      <c r="O49" s="90" t="s">
        <v>323</v>
      </c>
      <c r="P49" s="90" t="s">
        <v>308</v>
      </c>
      <c r="Q49" s="90" t="s">
        <v>922</v>
      </c>
      <c r="R49" s="90" t="s">
        <v>804</v>
      </c>
      <c r="S49" s="90" t="s">
        <v>1111</v>
      </c>
      <c r="T49" s="93" t="str">
        <f>HYPERLINK("http://www.youtube.com/channel/UCnFJ4cNNQdb9kvmTZAIgKsw")</f>
        <v>http://www.youtube.com/channel/UCnFJ4cNNQdb9kvmTZAIgKsw</v>
      </c>
      <c r="U49" s="90"/>
      <c r="V49" s="90" t="s">
        <v>1227</v>
      </c>
      <c r="W49" s="93" t="str">
        <f>HYPERLINK("https://www.youtube.com/watch?v=L3Ob_r4yk60")</f>
        <v>https://www.youtube.com/watch?v=L3Ob_r4yk60</v>
      </c>
      <c r="X49" s="90" t="s">
        <v>326</v>
      </c>
      <c r="Y49" s="90">
        <v>0</v>
      </c>
      <c r="Z49" s="96">
        <v>43912.46030092592</v>
      </c>
      <c r="AA49" s="96">
        <v>43912.46030092592</v>
      </c>
      <c r="AB49" s="90"/>
      <c r="AC49" s="90"/>
      <c r="AD49" s="90"/>
      <c r="AE49" s="90">
        <v>1</v>
      </c>
      <c r="AF49" s="89" t="str">
        <f>REPLACE(INDEX(GroupVertices[Group],MATCH(Edges[[#This Row],[Vertex 1]],GroupVertices[Vertex],0)),1,1,"")</f>
        <v>1</v>
      </c>
      <c r="AG49" s="89" t="str">
        <f>REPLACE(INDEX(GroupVertices[Group],MATCH(Edges[[#This Row],[Vertex 2]],GroupVertices[Vertex],0)),1,1,"")</f>
        <v>1</v>
      </c>
      <c r="AH49" s="48">
        <v>0</v>
      </c>
      <c r="AI49" s="49">
        <v>0</v>
      </c>
      <c r="AJ49" s="48">
        <v>3</v>
      </c>
      <c r="AK49" s="49">
        <v>17.647058823529413</v>
      </c>
      <c r="AL49" s="48">
        <v>0</v>
      </c>
      <c r="AM49" s="49">
        <v>0</v>
      </c>
      <c r="AN49" s="48">
        <v>14</v>
      </c>
      <c r="AO49" s="49">
        <v>82.3529411764706</v>
      </c>
      <c r="AP49" s="48">
        <v>17</v>
      </c>
    </row>
    <row r="50" spans="1:42" ht="15">
      <c r="A50" s="66" t="s">
        <v>805</v>
      </c>
      <c r="B50" s="66" t="s">
        <v>808</v>
      </c>
      <c r="C50" s="67" t="s">
        <v>743</v>
      </c>
      <c r="D50" s="68">
        <v>3</v>
      </c>
      <c r="E50" s="69"/>
      <c r="F50" s="70">
        <v>50</v>
      </c>
      <c r="G50" s="67"/>
      <c r="H50" s="71"/>
      <c r="I50" s="72"/>
      <c r="J50" s="72"/>
      <c r="K50" s="34" t="s">
        <v>65</v>
      </c>
      <c r="L50" s="79">
        <v>50</v>
      </c>
      <c r="M50" s="79"/>
      <c r="N50" s="74"/>
      <c r="O50" s="90" t="s">
        <v>322</v>
      </c>
      <c r="P50" s="90" t="s">
        <v>324</v>
      </c>
      <c r="Q50" s="90" t="s">
        <v>923</v>
      </c>
      <c r="R50" s="90" t="s">
        <v>805</v>
      </c>
      <c r="S50" s="90" t="s">
        <v>1112</v>
      </c>
      <c r="T50" s="93" t="str">
        <f>HYPERLINK("http://www.youtube.com/channel/UCzqDt_l9Cg3kZA3Wuo2b88Q")</f>
        <v>http://www.youtube.com/channel/UCzqDt_l9Cg3kZA3Wuo2b88Q</v>
      </c>
      <c r="U50" s="90" t="s">
        <v>1190</v>
      </c>
      <c r="V50" s="90" t="s">
        <v>1227</v>
      </c>
      <c r="W50" s="93" t="str">
        <f>HYPERLINK("https://www.youtube.com/watch?v=L3Ob_r4yk60")</f>
        <v>https://www.youtube.com/watch?v=L3Ob_r4yk60</v>
      </c>
      <c r="X50" s="90" t="s">
        <v>326</v>
      </c>
      <c r="Y50" s="90">
        <v>0</v>
      </c>
      <c r="Z50" s="96">
        <v>43912.468518518515</v>
      </c>
      <c r="AA50" s="96">
        <v>43912.468518518515</v>
      </c>
      <c r="AB50" s="90"/>
      <c r="AC50" s="90"/>
      <c r="AD50" s="90"/>
      <c r="AE50" s="90">
        <v>1</v>
      </c>
      <c r="AF50" s="89" t="str">
        <f>REPLACE(INDEX(GroupVertices[Group],MATCH(Edges[[#This Row],[Vertex 1]],GroupVertices[Vertex],0)),1,1,"")</f>
        <v>3</v>
      </c>
      <c r="AG50" s="89" t="str">
        <f>REPLACE(INDEX(GroupVertices[Group],MATCH(Edges[[#This Row],[Vertex 2]],GroupVertices[Vertex],0)),1,1,"")</f>
        <v>3</v>
      </c>
      <c r="AH50" s="48">
        <v>1</v>
      </c>
      <c r="AI50" s="49">
        <v>8.333333333333334</v>
      </c>
      <c r="AJ50" s="48">
        <v>0</v>
      </c>
      <c r="AK50" s="49">
        <v>0</v>
      </c>
      <c r="AL50" s="48">
        <v>0</v>
      </c>
      <c r="AM50" s="49">
        <v>0</v>
      </c>
      <c r="AN50" s="48">
        <v>11</v>
      </c>
      <c r="AO50" s="49">
        <v>91.66666666666667</v>
      </c>
      <c r="AP50" s="48">
        <v>12</v>
      </c>
    </row>
    <row r="51" spans="1:42" ht="15">
      <c r="A51" s="66" t="s">
        <v>777</v>
      </c>
      <c r="B51" s="66" t="s">
        <v>808</v>
      </c>
      <c r="C51" s="67" t="s">
        <v>743</v>
      </c>
      <c r="D51" s="68">
        <v>3</v>
      </c>
      <c r="E51" s="69"/>
      <c r="F51" s="70">
        <v>50</v>
      </c>
      <c r="G51" s="67"/>
      <c r="H51" s="71"/>
      <c r="I51" s="72"/>
      <c r="J51" s="72"/>
      <c r="K51" s="34" t="s">
        <v>65</v>
      </c>
      <c r="L51" s="79">
        <v>51</v>
      </c>
      <c r="M51" s="79"/>
      <c r="N51" s="74"/>
      <c r="O51" s="90" t="s">
        <v>322</v>
      </c>
      <c r="P51" s="90" t="s">
        <v>324</v>
      </c>
      <c r="Q51" s="90" t="s">
        <v>924</v>
      </c>
      <c r="R51" s="90" t="s">
        <v>777</v>
      </c>
      <c r="S51" s="90" t="s">
        <v>1084</v>
      </c>
      <c r="T51" s="93" t="str">
        <f>HYPERLINK("http://www.youtube.com/channel/UC48GDyHlhY6qMDusEqwsJLQ")</f>
        <v>http://www.youtube.com/channel/UC48GDyHlhY6qMDusEqwsJLQ</v>
      </c>
      <c r="U51" s="90" t="s">
        <v>1190</v>
      </c>
      <c r="V51" s="90" t="s">
        <v>1227</v>
      </c>
      <c r="W51" s="93" t="str">
        <f>HYPERLINK("https://www.youtube.com/watch?v=L3Ob_r4yk60")</f>
        <v>https://www.youtube.com/watch?v=L3Ob_r4yk60</v>
      </c>
      <c r="X51" s="90" t="s">
        <v>326</v>
      </c>
      <c r="Y51" s="90">
        <v>3</v>
      </c>
      <c r="Z51" s="96">
        <v>43912.46885416667</v>
      </c>
      <c r="AA51" s="96">
        <v>43912.46885416667</v>
      </c>
      <c r="AB51" s="90"/>
      <c r="AC51" s="90"/>
      <c r="AD51" s="90"/>
      <c r="AE51" s="90">
        <v>1</v>
      </c>
      <c r="AF51" s="89" t="str">
        <f>REPLACE(INDEX(GroupVertices[Group],MATCH(Edges[[#This Row],[Vertex 1]],GroupVertices[Vertex],0)),1,1,"")</f>
        <v>3</v>
      </c>
      <c r="AG51" s="89" t="str">
        <f>REPLACE(INDEX(GroupVertices[Group],MATCH(Edges[[#This Row],[Vertex 2]],GroupVertices[Vertex],0)),1,1,"")</f>
        <v>3</v>
      </c>
      <c r="AH51" s="48">
        <v>0</v>
      </c>
      <c r="AI51" s="49">
        <v>0</v>
      </c>
      <c r="AJ51" s="48">
        <v>0</v>
      </c>
      <c r="AK51" s="49">
        <v>0</v>
      </c>
      <c r="AL51" s="48">
        <v>0</v>
      </c>
      <c r="AM51" s="49">
        <v>0</v>
      </c>
      <c r="AN51" s="48">
        <v>5</v>
      </c>
      <c r="AO51" s="49">
        <v>100</v>
      </c>
      <c r="AP51" s="48">
        <v>5</v>
      </c>
    </row>
    <row r="52" spans="1:42" ht="15">
      <c r="A52" s="66" t="s">
        <v>806</v>
      </c>
      <c r="B52" s="66" t="s">
        <v>808</v>
      </c>
      <c r="C52" s="67" t="s">
        <v>743</v>
      </c>
      <c r="D52" s="68">
        <v>3</v>
      </c>
      <c r="E52" s="69"/>
      <c r="F52" s="70">
        <v>50</v>
      </c>
      <c r="G52" s="67"/>
      <c r="H52" s="71"/>
      <c r="I52" s="72"/>
      <c r="J52" s="72"/>
      <c r="K52" s="34" t="s">
        <v>65</v>
      </c>
      <c r="L52" s="79">
        <v>52</v>
      </c>
      <c r="M52" s="79"/>
      <c r="N52" s="74"/>
      <c r="O52" s="90" t="s">
        <v>322</v>
      </c>
      <c r="P52" s="90" t="s">
        <v>324</v>
      </c>
      <c r="Q52" s="90" t="s">
        <v>925</v>
      </c>
      <c r="R52" s="90" t="s">
        <v>806</v>
      </c>
      <c r="S52" s="90" t="s">
        <v>1113</v>
      </c>
      <c r="T52" s="93" t="str">
        <f>HYPERLINK("http://www.youtube.com/channel/UCP4dWyJzFjajeL-6LZpaxxg")</f>
        <v>http://www.youtube.com/channel/UCP4dWyJzFjajeL-6LZpaxxg</v>
      </c>
      <c r="U52" s="90" t="s">
        <v>1190</v>
      </c>
      <c r="V52" s="90" t="s">
        <v>1227</v>
      </c>
      <c r="W52" s="93" t="str">
        <f>HYPERLINK("https://www.youtube.com/watch?v=L3Ob_r4yk60")</f>
        <v>https://www.youtube.com/watch?v=L3Ob_r4yk60</v>
      </c>
      <c r="X52" s="90" t="s">
        <v>326</v>
      </c>
      <c r="Y52" s="90">
        <v>4</v>
      </c>
      <c r="Z52" s="96">
        <v>43912.497083333335</v>
      </c>
      <c r="AA52" s="96">
        <v>43912.497083333335</v>
      </c>
      <c r="AB52" s="90"/>
      <c r="AC52" s="90"/>
      <c r="AD52" s="90"/>
      <c r="AE52" s="90">
        <v>1</v>
      </c>
      <c r="AF52" s="89" t="str">
        <f>REPLACE(INDEX(GroupVertices[Group],MATCH(Edges[[#This Row],[Vertex 1]],GroupVertices[Vertex],0)),1,1,"")</f>
        <v>3</v>
      </c>
      <c r="AG52" s="89" t="str">
        <f>REPLACE(INDEX(GroupVertices[Group],MATCH(Edges[[#This Row],[Vertex 2]],GroupVertices[Vertex],0)),1,1,"")</f>
        <v>3</v>
      </c>
      <c r="AH52" s="48">
        <v>2</v>
      </c>
      <c r="AI52" s="49">
        <v>4.25531914893617</v>
      </c>
      <c r="AJ52" s="48">
        <v>3</v>
      </c>
      <c r="AK52" s="49">
        <v>6.382978723404255</v>
      </c>
      <c r="AL52" s="48">
        <v>0</v>
      </c>
      <c r="AM52" s="49">
        <v>0</v>
      </c>
      <c r="AN52" s="48">
        <v>42</v>
      </c>
      <c r="AO52" s="49">
        <v>89.36170212765957</v>
      </c>
      <c r="AP52" s="48">
        <v>47</v>
      </c>
    </row>
    <row r="53" spans="1:42" ht="15">
      <c r="A53" s="66" t="s">
        <v>807</v>
      </c>
      <c r="B53" s="66" t="s">
        <v>808</v>
      </c>
      <c r="C53" s="67" t="s">
        <v>743</v>
      </c>
      <c r="D53" s="68">
        <v>3</v>
      </c>
      <c r="E53" s="69"/>
      <c r="F53" s="70">
        <v>50</v>
      </c>
      <c r="G53" s="67"/>
      <c r="H53" s="71"/>
      <c r="I53" s="72"/>
      <c r="J53" s="72"/>
      <c r="K53" s="34" t="s">
        <v>65</v>
      </c>
      <c r="L53" s="79">
        <v>53</v>
      </c>
      <c r="M53" s="79"/>
      <c r="N53" s="74"/>
      <c r="O53" s="90" t="s">
        <v>322</v>
      </c>
      <c r="P53" s="90" t="s">
        <v>324</v>
      </c>
      <c r="Q53" s="90" t="s">
        <v>926</v>
      </c>
      <c r="R53" s="90" t="s">
        <v>807</v>
      </c>
      <c r="S53" s="90" t="s">
        <v>1114</v>
      </c>
      <c r="T53" s="93" t="str">
        <f>HYPERLINK("http://www.youtube.com/channel/UCEumYcqRhFB_50mlEbGDCIQ")</f>
        <v>http://www.youtube.com/channel/UCEumYcqRhFB_50mlEbGDCIQ</v>
      </c>
      <c r="U53" s="90" t="s">
        <v>1190</v>
      </c>
      <c r="V53" s="90" t="s">
        <v>1227</v>
      </c>
      <c r="W53" s="93" t="str">
        <f>HYPERLINK("https://www.youtube.com/watch?v=L3Ob_r4yk60")</f>
        <v>https://www.youtube.com/watch?v=L3Ob_r4yk60</v>
      </c>
      <c r="X53" s="90" t="s">
        <v>326</v>
      </c>
      <c r="Y53" s="90">
        <v>2</v>
      </c>
      <c r="Z53" s="96">
        <v>43912.54298611111</v>
      </c>
      <c r="AA53" s="96">
        <v>43912.54298611111</v>
      </c>
      <c r="AB53" s="90"/>
      <c r="AC53" s="90"/>
      <c r="AD53" s="90"/>
      <c r="AE53" s="90">
        <v>1</v>
      </c>
      <c r="AF53" s="89" t="str">
        <f>REPLACE(INDEX(GroupVertices[Group],MATCH(Edges[[#This Row],[Vertex 1]],GroupVertices[Vertex],0)),1,1,"")</f>
        <v>3</v>
      </c>
      <c r="AG53" s="89" t="str">
        <f>REPLACE(INDEX(GroupVertices[Group],MATCH(Edges[[#This Row],[Vertex 2]],GroupVertices[Vertex],0)),1,1,"")</f>
        <v>3</v>
      </c>
      <c r="AH53" s="48">
        <v>0</v>
      </c>
      <c r="AI53" s="49">
        <v>0</v>
      </c>
      <c r="AJ53" s="48">
        <v>0</v>
      </c>
      <c r="AK53" s="49">
        <v>0</v>
      </c>
      <c r="AL53" s="48">
        <v>0</v>
      </c>
      <c r="AM53" s="49">
        <v>0</v>
      </c>
      <c r="AN53" s="48">
        <v>15</v>
      </c>
      <c r="AO53" s="49">
        <v>100</v>
      </c>
      <c r="AP53" s="48">
        <v>15</v>
      </c>
    </row>
    <row r="54" spans="1:42" ht="15">
      <c r="A54" s="66" t="s">
        <v>778</v>
      </c>
      <c r="B54" s="66" t="s">
        <v>808</v>
      </c>
      <c r="C54" s="67" t="s">
        <v>743</v>
      </c>
      <c r="D54" s="68">
        <v>3</v>
      </c>
      <c r="E54" s="69"/>
      <c r="F54" s="70">
        <v>50</v>
      </c>
      <c r="G54" s="67"/>
      <c r="H54" s="71"/>
      <c r="I54" s="72"/>
      <c r="J54" s="72"/>
      <c r="K54" s="34" t="s">
        <v>65</v>
      </c>
      <c r="L54" s="79">
        <v>54</v>
      </c>
      <c r="M54" s="79"/>
      <c r="N54" s="74"/>
      <c r="O54" s="90" t="s">
        <v>322</v>
      </c>
      <c r="P54" s="90" t="s">
        <v>324</v>
      </c>
      <c r="Q54" s="90" t="s">
        <v>927</v>
      </c>
      <c r="R54" s="90" t="s">
        <v>778</v>
      </c>
      <c r="S54" s="90" t="s">
        <v>1085</v>
      </c>
      <c r="T54" s="93" t="str">
        <f>HYPERLINK("http://www.youtube.com/channel/UCvFvo310EFTNVcGfu0vvTPg")</f>
        <v>http://www.youtube.com/channel/UCvFvo310EFTNVcGfu0vvTPg</v>
      </c>
      <c r="U54" s="90" t="s">
        <v>1190</v>
      </c>
      <c r="V54" s="90" t="s">
        <v>1227</v>
      </c>
      <c r="W54" s="93" t="str">
        <f>HYPERLINK("https://www.youtube.com/watch?v=L3Ob_r4yk60")</f>
        <v>https://www.youtube.com/watch?v=L3Ob_r4yk60</v>
      </c>
      <c r="X54" s="90" t="s">
        <v>326</v>
      </c>
      <c r="Y54" s="90">
        <v>0</v>
      </c>
      <c r="Z54" s="96">
        <v>43912.54230324074</v>
      </c>
      <c r="AA54" s="96">
        <v>43912.54230324074</v>
      </c>
      <c r="AB54" s="90"/>
      <c r="AC54" s="90"/>
      <c r="AD54" s="90"/>
      <c r="AE54" s="90">
        <v>1</v>
      </c>
      <c r="AF54" s="89" t="str">
        <f>REPLACE(INDEX(GroupVertices[Group],MATCH(Edges[[#This Row],[Vertex 1]],GroupVertices[Vertex],0)),1,1,"")</f>
        <v>3</v>
      </c>
      <c r="AG54" s="89" t="str">
        <f>REPLACE(INDEX(GroupVertices[Group],MATCH(Edges[[#This Row],[Vertex 2]],GroupVertices[Vertex],0)),1,1,"")</f>
        <v>3</v>
      </c>
      <c r="AH54" s="48">
        <v>2</v>
      </c>
      <c r="AI54" s="49">
        <v>3.508771929824561</v>
      </c>
      <c r="AJ54" s="48">
        <v>1</v>
      </c>
      <c r="AK54" s="49">
        <v>1.7543859649122806</v>
      </c>
      <c r="AL54" s="48">
        <v>0</v>
      </c>
      <c r="AM54" s="49">
        <v>0</v>
      </c>
      <c r="AN54" s="48">
        <v>54</v>
      </c>
      <c r="AO54" s="49">
        <v>94.73684210526316</v>
      </c>
      <c r="AP54" s="48">
        <v>57</v>
      </c>
    </row>
    <row r="55" spans="1:42" ht="15">
      <c r="A55" s="66" t="s">
        <v>808</v>
      </c>
      <c r="B55" s="66" t="s">
        <v>876</v>
      </c>
      <c r="C55" s="67" t="s">
        <v>743</v>
      </c>
      <c r="D55" s="68">
        <v>3</v>
      </c>
      <c r="E55" s="69"/>
      <c r="F55" s="70">
        <v>50</v>
      </c>
      <c r="G55" s="67"/>
      <c r="H55" s="71"/>
      <c r="I55" s="72"/>
      <c r="J55" s="72"/>
      <c r="K55" s="34" t="s">
        <v>65</v>
      </c>
      <c r="L55" s="79">
        <v>55</v>
      </c>
      <c r="M55" s="79"/>
      <c r="N55" s="74"/>
      <c r="O55" s="90" t="s">
        <v>323</v>
      </c>
      <c r="P55" s="90" t="s">
        <v>308</v>
      </c>
      <c r="Q55" s="90" t="s">
        <v>928</v>
      </c>
      <c r="R55" s="90" t="s">
        <v>808</v>
      </c>
      <c r="S55" s="90" t="s">
        <v>1115</v>
      </c>
      <c r="T55" s="93" t="str">
        <f>HYPERLINK("http://www.youtube.com/channel/UC_cOJVzPhf7iG2A5wj3eTKw")</f>
        <v>http://www.youtube.com/channel/UC_cOJVzPhf7iG2A5wj3eTKw</v>
      </c>
      <c r="U55" s="90"/>
      <c r="V55" s="90" t="s">
        <v>1227</v>
      </c>
      <c r="W55" s="93" t="str">
        <f>HYPERLINK("https://www.youtube.com/watch?v=L3Ob_r4yk60")</f>
        <v>https://www.youtube.com/watch?v=L3Ob_r4yk60</v>
      </c>
      <c r="X55" s="90" t="s">
        <v>326</v>
      </c>
      <c r="Y55" s="90">
        <v>13</v>
      </c>
      <c r="Z55" s="96">
        <v>43912.46041666667</v>
      </c>
      <c r="AA55" s="96">
        <v>43912.46041666667</v>
      </c>
      <c r="AB55" s="90"/>
      <c r="AC55" s="90"/>
      <c r="AD55" s="90"/>
      <c r="AE55" s="90">
        <v>1</v>
      </c>
      <c r="AF55" s="89" t="str">
        <f>REPLACE(INDEX(GroupVertices[Group],MATCH(Edges[[#This Row],[Vertex 1]],GroupVertices[Vertex],0)),1,1,"")</f>
        <v>3</v>
      </c>
      <c r="AG55" s="89" t="str">
        <f>REPLACE(INDEX(GroupVertices[Group],MATCH(Edges[[#This Row],[Vertex 2]],GroupVertices[Vertex],0)),1,1,"")</f>
        <v>1</v>
      </c>
      <c r="AH55" s="48">
        <v>1</v>
      </c>
      <c r="AI55" s="49">
        <v>4</v>
      </c>
      <c r="AJ55" s="48">
        <v>1</v>
      </c>
      <c r="AK55" s="49">
        <v>4</v>
      </c>
      <c r="AL55" s="48">
        <v>0</v>
      </c>
      <c r="AM55" s="49">
        <v>0</v>
      </c>
      <c r="AN55" s="48">
        <v>23</v>
      </c>
      <c r="AO55" s="49">
        <v>92</v>
      </c>
      <c r="AP55" s="48">
        <v>25</v>
      </c>
    </row>
    <row r="56" spans="1:42" ht="15">
      <c r="A56" s="66" t="s">
        <v>809</v>
      </c>
      <c r="B56" s="66" t="s">
        <v>810</v>
      </c>
      <c r="C56" s="67" t="s">
        <v>743</v>
      </c>
      <c r="D56" s="68">
        <v>3</v>
      </c>
      <c r="E56" s="69"/>
      <c r="F56" s="70">
        <v>50</v>
      </c>
      <c r="G56" s="67"/>
      <c r="H56" s="71"/>
      <c r="I56" s="72"/>
      <c r="J56" s="72"/>
      <c r="K56" s="34" t="s">
        <v>65</v>
      </c>
      <c r="L56" s="79">
        <v>56</v>
      </c>
      <c r="M56" s="79"/>
      <c r="N56" s="74"/>
      <c r="O56" s="90" t="s">
        <v>322</v>
      </c>
      <c r="P56" s="90" t="s">
        <v>324</v>
      </c>
      <c r="Q56" s="90" t="s">
        <v>929</v>
      </c>
      <c r="R56" s="90" t="s">
        <v>809</v>
      </c>
      <c r="S56" s="90" t="s">
        <v>1116</v>
      </c>
      <c r="T56" s="93" t="str">
        <f>HYPERLINK("http://www.youtube.com/channel/UCS7JpwViCLoWo4cGVGzMGDQ")</f>
        <v>http://www.youtube.com/channel/UCS7JpwViCLoWo4cGVGzMGDQ</v>
      </c>
      <c r="U56" s="90" t="s">
        <v>1191</v>
      </c>
      <c r="V56" s="90" t="s">
        <v>1227</v>
      </c>
      <c r="W56" s="93" t="str">
        <f>HYPERLINK("https://www.youtube.com/watch?v=L3Ob_r4yk60")</f>
        <v>https://www.youtube.com/watch?v=L3Ob_r4yk60</v>
      </c>
      <c r="X56" s="90" t="s">
        <v>326</v>
      </c>
      <c r="Y56" s="90">
        <v>4</v>
      </c>
      <c r="Z56" s="96">
        <v>43912.46596064815</v>
      </c>
      <c r="AA56" s="96">
        <v>43912.46596064815</v>
      </c>
      <c r="AB56" s="90"/>
      <c r="AC56" s="90"/>
      <c r="AD56" s="90"/>
      <c r="AE56" s="90">
        <v>1</v>
      </c>
      <c r="AF56" s="89" t="str">
        <f>REPLACE(INDEX(GroupVertices[Group],MATCH(Edges[[#This Row],[Vertex 1]],GroupVertices[Vertex],0)),1,1,"")</f>
        <v>1</v>
      </c>
      <c r="AG56" s="89" t="str">
        <f>REPLACE(INDEX(GroupVertices[Group],MATCH(Edges[[#This Row],[Vertex 2]],GroupVertices[Vertex],0)),1,1,"")</f>
        <v>1</v>
      </c>
      <c r="AH56" s="48">
        <v>6</v>
      </c>
      <c r="AI56" s="49">
        <v>5.172413793103448</v>
      </c>
      <c r="AJ56" s="48">
        <v>5</v>
      </c>
      <c r="AK56" s="49">
        <v>4.310344827586207</v>
      </c>
      <c r="AL56" s="48">
        <v>0</v>
      </c>
      <c r="AM56" s="49">
        <v>0</v>
      </c>
      <c r="AN56" s="48">
        <v>105</v>
      </c>
      <c r="AO56" s="49">
        <v>90.51724137931035</v>
      </c>
      <c r="AP56" s="48">
        <v>116</v>
      </c>
    </row>
    <row r="57" spans="1:42" ht="15">
      <c r="A57" s="66" t="s">
        <v>810</v>
      </c>
      <c r="B57" s="66" t="s">
        <v>810</v>
      </c>
      <c r="C57" s="67" t="s">
        <v>743</v>
      </c>
      <c r="D57" s="68">
        <v>3</v>
      </c>
      <c r="E57" s="69"/>
      <c r="F57" s="70">
        <v>50</v>
      </c>
      <c r="G57" s="67"/>
      <c r="H57" s="71"/>
      <c r="I57" s="72"/>
      <c r="J57" s="72"/>
      <c r="K57" s="34" t="s">
        <v>65</v>
      </c>
      <c r="L57" s="79">
        <v>57</v>
      </c>
      <c r="M57" s="79"/>
      <c r="N57" s="74"/>
      <c r="O57" s="90" t="s">
        <v>322</v>
      </c>
      <c r="P57" s="90" t="s">
        <v>324</v>
      </c>
      <c r="Q57" s="90" t="s">
        <v>930</v>
      </c>
      <c r="R57" s="90" t="s">
        <v>810</v>
      </c>
      <c r="S57" s="90" t="s">
        <v>1117</v>
      </c>
      <c r="T57" s="93" t="str">
        <f>HYPERLINK("http://www.youtube.com/channel/UCVkBNuh0NbeouMbE8fjGm8w")</f>
        <v>http://www.youtube.com/channel/UCVkBNuh0NbeouMbE8fjGm8w</v>
      </c>
      <c r="U57" s="90" t="s">
        <v>1191</v>
      </c>
      <c r="V57" s="90" t="s">
        <v>1227</v>
      </c>
      <c r="W57" s="93" t="str">
        <f>HYPERLINK("https://www.youtube.com/watch?v=L3Ob_r4yk60")</f>
        <v>https://www.youtube.com/watch?v=L3Ob_r4yk60</v>
      </c>
      <c r="X57" s="90" t="s">
        <v>326</v>
      </c>
      <c r="Y57" s="90">
        <v>3</v>
      </c>
      <c r="Z57" s="96">
        <v>43912.48226851852</v>
      </c>
      <c r="AA57" s="96">
        <v>43912.48226851852</v>
      </c>
      <c r="AB57" s="90"/>
      <c r="AC57" s="90"/>
      <c r="AD57" s="90"/>
      <c r="AE57" s="90">
        <v>1</v>
      </c>
      <c r="AF57" s="89" t="str">
        <f>REPLACE(INDEX(GroupVertices[Group],MATCH(Edges[[#This Row],[Vertex 1]],GroupVertices[Vertex],0)),1,1,"")</f>
        <v>1</v>
      </c>
      <c r="AG57" s="89" t="str">
        <f>REPLACE(INDEX(GroupVertices[Group],MATCH(Edges[[#This Row],[Vertex 2]],GroupVertices[Vertex],0)),1,1,"")</f>
        <v>1</v>
      </c>
      <c r="AH57" s="48">
        <v>1</v>
      </c>
      <c r="AI57" s="49">
        <v>2.127659574468085</v>
      </c>
      <c r="AJ57" s="48">
        <v>1</v>
      </c>
      <c r="AK57" s="49">
        <v>2.127659574468085</v>
      </c>
      <c r="AL57" s="48">
        <v>0</v>
      </c>
      <c r="AM57" s="49">
        <v>0</v>
      </c>
      <c r="AN57" s="48">
        <v>45</v>
      </c>
      <c r="AO57" s="49">
        <v>95.74468085106383</v>
      </c>
      <c r="AP57" s="48">
        <v>47</v>
      </c>
    </row>
    <row r="58" spans="1:42" ht="15">
      <c r="A58" s="66" t="s">
        <v>810</v>
      </c>
      <c r="B58" s="66" t="s">
        <v>876</v>
      </c>
      <c r="C58" s="67" t="s">
        <v>743</v>
      </c>
      <c r="D58" s="68">
        <v>3</v>
      </c>
      <c r="E58" s="69"/>
      <c r="F58" s="70">
        <v>50</v>
      </c>
      <c r="G58" s="67"/>
      <c r="H58" s="71"/>
      <c r="I58" s="72"/>
      <c r="J58" s="72"/>
      <c r="K58" s="34" t="s">
        <v>65</v>
      </c>
      <c r="L58" s="79">
        <v>58</v>
      </c>
      <c r="M58" s="79"/>
      <c r="N58" s="74"/>
      <c r="O58" s="90" t="s">
        <v>323</v>
      </c>
      <c r="P58" s="90" t="s">
        <v>308</v>
      </c>
      <c r="Q58" s="90" t="s">
        <v>931</v>
      </c>
      <c r="R58" s="90" t="s">
        <v>810</v>
      </c>
      <c r="S58" s="90" t="s">
        <v>1117</v>
      </c>
      <c r="T58" s="93" t="str">
        <f>HYPERLINK("http://www.youtube.com/channel/UCVkBNuh0NbeouMbE8fjGm8w")</f>
        <v>http://www.youtube.com/channel/UCVkBNuh0NbeouMbE8fjGm8w</v>
      </c>
      <c r="U58" s="90"/>
      <c r="V58" s="90" t="s">
        <v>1227</v>
      </c>
      <c r="W58" s="93" t="str">
        <f>HYPERLINK("https://www.youtube.com/watch?v=L3Ob_r4yk60")</f>
        <v>https://www.youtube.com/watch?v=L3Ob_r4yk60</v>
      </c>
      <c r="X58" s="90" t="s">
        <v>326</v>
      </c>
      <c r="Y58" s="90">
        <v>6</v>
      </c>
      <c r="Z58" s="96">
        <v>43912.461747685185</v>
      </c>
      <c r="AA58" s="96">
        <v>43912.4656712963</v>
      </c>
      <c r="AB58" s="90"/>
      <c r="AC58" s="90"/>
      <c r="AD58" s="90"/>
      <c r="AE58" s="90">
        <v>1</v>
      </c>
      <c r="AF58" s="89" t="str">
        <f>REPLACE(INDEX(GroupVertices[Group],MATCH(Edges[[#This Row],[Vertex 1]],GroupVertices[Vertex],0)),1,1,"")</f>
        <v>1</v>
      </c>
      <c r="AG58" s="89" t="str">
        <f>REPLACE(INDEX(GroupVertices[Group],MATCH(Edges[[#This Row],[Vertex 2]],GroupVertices[Vertex],0)),1,1,"")</f>
        <v>1</v>
      </c>
      <c r="AH58" s="48">
        <v>0</v>
      </c>
      <c r="AI58" s="49">
        <v>0</v>
      </c>
      <c r="AJ58" s="48">
        <v>0</v>
      </c>
      <c r="AK58" s="49">
        <v>0</v>
      </c>
      <c r="AL58" s="48">
        <v>0</v>
      </c>
      <c r="AM58" s="49">
        <v>0</v>
      </c>
      <c r="AN58" s="48">
        <v>37</v>
      </c>
      <c r="AO58" s="49">
        <v>100</v>
      </c>
      <c r="AP58" s="48">
        <v>37</v>
      </c>
    </row>
    <row r="59" spans="1:42" ht="15">
      <c r="A59" s="66" t="s">
        <v>811</v>
      </c>
      <c r="B59" s="66" t="s">
        <v>814</v>
      </c>
      <c r="C59" s="67" t="s">
        <v>743</v>
      </c>
      <c r="D59" s="68">
        <v>3</v>
      </c>
      <c r="E59" s="69"/>
      <c r="F59" s="70">
        <v>50</v>
      </c>
      <c r="G59" s="67"/>
      <c r="H59" s="71"/>
      <c r="I59" s="72"/>
      <c r="J59" s="72"/>
      <c r="K59" s="34" t="s">
        <v>65</v>
      </c>
      <c r="L59" s="79">
        <v>59</v>
      </c>
      <c r="M59" s="79"/>
      <c r="N59" s="74"/>
      <c r="O59" s="90" t="s">
        <v>322</v>
      </c>
      <c r="P59" s="90" t="s">
        <v>324</v>
      </c>
      <c r="Q59" s="90" t="s">
        <v>932</v>
      </c>
      <c r="R59" s="90" t="s">
        <v>811</v>
      </c>
      <c r="S59" s="90" t="s">
        <v>1118</v>
      </c>
      <c r="T59" s="93" t="str">
        <f>HYPERLINK("http://www.youtube.com/channel/UCaV83QCCICMomi4nDLmMIPg")</f>
        <v>http://www.youtube.com/channel/UCaV83QCCICMomi4nDLmMIPg</v>
      </c>
      <c r="U59" s="90" t="s">
        <v>1192</v>
      </c>
      <c r="V59" s="90" t="s">
        <v>1227</v>
      </c>
      <c r="W59" s="93" t="str">
        <f>HYPERLINK("https://www.youtube.com/watch?v=")</f>
        <v>https://www.youtube.com/watch?v=</v>
      </c>
      <c r="X59" s="90" t="s">
        <v>326</v>
      </c>
      <c r="Y59" s="90">
        <v>6</v>
      </c>
      <c r="Z59" s="96">
        <v>43912.51247685185</v>
      </c>
      <c r="AA59" s="96">
        <v>43912.51247685185</v>
      </c>
      <c r="AB59" s="90"/>
      <c r="AC59" s="90"/>
      <c r="AD59" s="90"/>
      <c r="AE59" s="90">
        <v>1</v>
      </c>
      <c r="AF59" s="89" t="str">
        <f>REPLACE(INDEX(GroupVertices[Group],MATCH(Edges[[#This Row],[Vertex 1]],GroupVertices[Vertex],0)),1,1,"")</f>
        <v>2</v>
      </c>
      <c r="AG59" s="89" t="str">
        <f>REPLACE(INDEX(GroupVertices[Group],MATCH(Edges[[#This Row],[Vertex 2]],GroupVertices[Vertex],0)),1,1,"")</f>
        <v>2</v>
      </c>
      <c r="AH59" s="48">
        <v>2</v>
      </c>
      <c r="AI59" s="49">
        <v>4.761904761904762</v>
      </c>
      <c r="AJ59" s="48">
        <v>2</v>
      </c>
      <c r="AK59" s="49">
        <v>4.761904761904762</v>
      </c>
      <c r="AL59" s="48">
        <v>0</v>
      </c>
      <c r="AM59" s="49">
        <v>0</v>
      </c>
      <c r="AN59" s="48">
        <v>38</v>
      </c>
      <c r="AO59" s="49">
        <v>90.47619047619048</v>
      </c>
      <c r="AP59" s="48">
        <v>42</v>
      </c>
    </row>
    <row r="60" spans="1:42" ht="15">
      <c r="A60" s="66" t="s">
        <v>812</v>
      </c>
      <c r="B60" s="66" t="s">
        <v>814</v>
      </c>
      <c r="C60" s="67" t="s">
        <v>744</v>
      </c>
      <c r="D60" s="68">
        <v>10</v>
      </c>
      <c r="E60" s="69"/>
      <c r="F60" s="70">
        <v>20</v>
      </c>
      <c r="G60" s="67"/>
      <c r="H60" s="71"/>
      <c r="I60" s="72"/>
      <c r="J60" s="72"/>
      <c r="K60" s="34" t="s">
        <v>65</v>
      </c>
      <c r="L60" s="79">
        <v>60</v>
      </c>
      <c r="M60" s="79"/>
      <c r="N60" s="74"/>
      <c r="O60" s="90" t="s">
        <v>322</v>
      </c>
      <c r="P60" s="90" t="s">
        <v>324</v>
      </c>
      <c r="Q60" s="90" t="s">
        <v>933</v>
      </c>
      <c r="R60" s="90" t="s">
        <v>812</v>
      </c>
      <c r="S60" s="90" t="s">
        <v>1119</v>
      </c>
      <c r="T60" s="93" t="str">
        <f>HYPERLINK("http://www.youtube.com/channel/UCLs7cpOjbykXTker--7B7Rw")</f>
        <v>http://www.youtube.com/channel/UCLs7cpOjbykXTker--7B7Rw</v>
      </c>
      <c r="U60" s="90" t="s">
        <v>1192</v>
      </c>
      <c r="V60" s="90" t="s">
        <v>1227</v>
      </c>
      <c r="W60" s="93" t="str">
        <f>HYPERLINK("https://www.youtube.com/watch?v=")</f>
        <v>https://www.youtube.com/watch?v=</v>
      </c>
      <c r="X60" s="90" t="s">
        <v>326</v>
      </c>
      <c r="Y60" s="90">
        <v>4</v>
      </c>
      <c r="Z60" s="96">
        <v>43912.56234953704</v>
      </c>
      <c r="AA60" s="96">
        <v>43912.56234953704</v>
      </c>
      <c r="AB60" s="90"/>
      <c r="AC60" s="90"/>
      <c r="AD60" s="90"/>
      <c r="AE60" s="90">
        <v>2</v>
      </c>
      <c r="AF60" s="89" t="str">
        <f>REPLACE(INDEX(GroupVertices[Group],MATCH(Edges[[#This Row],[Vertex 1]],GroupVertices[Vertex],0)),1,1,"")</f>
        <v>2</v>
      </c>
      <c r="AG60" s="89" t="str">
        <f>REPLACE(INDEX(GroupVertices[Group],MATCH(Edges[[#This Row],[Vertex 2]],GroupVertices[Vertex],0)),1,1,"")</f>
        <v>2</v>
      </c>
      <c r="AH60" s="48">
        <v>2</v>
      </c>
      <c r="AI60" s="49">
        <v>5.2631578947368425</v>
      </c>
      <c r="AJ60" s="48">
        <v>1</v>
      </c>
      <c r="AK60" s="49">
        <v>2.6315789473684212</v>
      </c>
      <c r="AL60" s="48">
        <v>0</v>
      </c>
      <c r="AM60" s="49">
        <v>0</v>
      </c>
      <c r="AN60" s="48">
        <v>35</v>
      </c>
      <c r="AO60" s="49">
        <v>92.10526315789474</v>
      </c>
      <c r="AP60" s="48">
        <v>38</v>
      </c>
    </row>
    <row r="61" spans="1:42" ht="15">
      <c r="A61" s="66" t="s">
        <v>812</v>
      </c>
      <c r="B61" s="66" t="s">
        <v>814</v>
      </c>
      <c r="C61" s="67" t="s">
        <v>744</v>
      </c>
      <c r="D61" s="68">
        <v>10</v>
      </c>
      <c r="E61" s="69"/>
      <c r="F61" s="70">
        <v>20</v>
      </c>
      <c r="G61" s="67"/>
      <c r="H61" s="71"/>
      <c r="I61" s="72"/>
      <c r="J61" s="72"/>
      <c r="K61" s="34" t="s">
        <v>65</v>
      </c>
      <c r="L61" s="79">
        <v>61</v>
      </c>
      <c r="M61" s="79"/>
      <c r="N61" s="74"/>
      <c r="O61" s="90" t="s">
        <v>322</v>
      </c>
      <c r="P61" s="90" t="s">
        <v>324</v>
      </c>
      <c r="Q61" s="90" t="s">
        <v>934</v>
      </c>
      <c r="R61" s="90" t="s">
        <v>812</v>
      </c>
      <c r="S61" s="90" t="s">
        <v>1119</v>
      </c>
      <c r="T61" s="93" t="str">
        <f>HYPERLINK("http://www.youtube.com/channel/UCLs7cpOjbykXTker--7B7Rw")</f>
        <v>http://www.youtube.com/channel/UCLs7cpOjbykXTker--7B7Rw</v>
      </c>
      <c r="U61" s="90" t="s">
        <v>1192</v>
      </c>
      <c r="V61" s="90" t="s">
        <v>1227</v>
      </c>
      <c r="W61" s="93" t="str">
        <f>HYPERLINK("https://www.youtube.com/watch?v=")</f>
        <v>https://www.youtube.com/watch?v=</v>
      </c>
      <c r="X61" s="90" t="s">
        <v>326</v>
      </c>
      <c r="Y61" s="90">
        <v>1</v>
      </c>
      <c r="Z61" s="96">
        <v>43912.58028935185</v>
      </c>
      <c r="AA61" s="96">
        <v>43912.58028935185</v>
      </c>
      <c r="AB61" s="90"/>
      <c r="AC61" s="90"/>
      <c r="AD61" s="90"/>
      <c r="AE61" s="90">
        <v>2</v>
      </c>
      <c r="AF61" s="89" t="str">
        <f>REPLACE(INDEX(GroupVertices[Group],MATCH(Edges[[#This Row],[Vertex 1]],GroupVertices[Vertex],0)),1,1,"")</f>
        <v>2</v>
      </c>
      <c r="AG61" s="89" t="str">
        <f>REPLACE(INDEX(GroupVertices[Group],MATCH(Edges[[#This Row],[Vertex 2]],GroupVertices[Vertex],0)),1,1,"")</f>
        <v>2</v>
      </c>
      <c r="AH61" s="48">
        <v>2</v>
      </c>
      <c r="AI61" s="49">
        <v>12.5</v>
      </c>
      <c r="AJ61" s="48">
        <v>0</v>
      </c>
      <c r="AK61" s="49">
        <v>0</v>
      </c>
      <c r="AL61" s="48">
        <v>0</v>
      </c>
      <c r="AM61" s="49">
        <v>0</v>
      </c>
      <c r="AN61" s="48">
        <v>14</v>
      </c>
      <c r="AO61" s="49">
        <v>87.5</v>
      </c>
      <c r="AP61" s="48">
        <v>16</v>
      </c>
    </row>
    <row r="62" spans="1:42" ht="15">
      <c r="A62" s="66" t="s">
        <v>813</v>
      </c>
      <c r="B62" s="66" t="s">
        <v>814</v>
      </c>
      <c r="C62" s="67" t="s">
        <v>743</v>
      </c>
      <c r="D62" s="68">
        <v>3</v>
      </c>
      <c r="E62" s="69"/>
      <c r="F62" s="70">
        <v>50</v>
      </c>
      <c r="G62" s="67"/>
      <c r="H62" s="71"/>
      <c r="I62" s="72"/>
      <c r="J62" s="72"/>
      <c r="K62" s="34" t="s">
        <v>65</v>
      </c>
      <c r="L62" s="79">
        <v>62</v>
      </c>
      <c r="M62" s="79"/>
      <c r="N62" s="74"/>
      <c r="O62" s="90" t="s">
        <v>322</v>
      </c>
      <c r="P62" s="90" t="s">
        <v>324</v>
      </c>
      <c r="Q62" s="90" t="s">
        <v>935</v>
      </c>
      <c r="R62" s="90" t="s">
        <v>813</v>
      </c>
      <c r="S62" s="90" t="s">
        <v>1120</v>
      </c>
      <c r="T62" s="93" t="str">
        <f>HYPERLINK("http://www.youtube.com/channel/UC1wz07fnWZJCU2E6pDUHv6A")</f>
        <v>http://www.youtube.com/channel/UC1wz07fnWZJCU2E6pDUHv6A</v>
      </c>
      <c r="U62" s="90" t="s">
        <v>1193</v>
      </c>
      <c r="V62" s="90" t="s">
        <v>1227</v>
      </c>
      <c r="W62" s="93" t="str">
        <f>HYPERLINK("https://www.youtube.com/watch?v=L3Ob_r4yk60")</f>
        <v>https://www.youtube.com/watch?v=L3Ob_r4yk60</v>
      </c>
      <c r="X62" s="90" t="s">
        <v>326</v>
      </c>
      <c r="Y62" s="90">
        <v>3</v>
      </c>
      <c r="Z62" s="96">
        <v>43912.51013888889</v>
      </c>
      <c r="AA62" s="96">
        <v>43912.51013888889</v>
      </c>
      <c r="AB62" s="90"/>
      <c r="AC62" s="90"/>
      <c r="AD62" s="90"/>
      <c r="AE62" s="90">
        <v>1</v>
      </c>
      <c r="AF62" s="89" t="str">
        <f>REPLACE(INDEX(GroupVertices[Group],MATCH(Edges[[#This Row],[Vertex 1]],GroupVertices[Vertex],0)),1,1,"")</f>
        <v>2</v>
      </c>
      <c r="AG62" s="89" t="str">
        <f>REPLACE(INDEX(GroupVertices[Group],MATCH(Edges[[#This Row],[Vertex 2]],GroupVertices[Vertex],0)),1,1,"")</f>
        <v>2</v>
      </c>
      <c r="AH62" s="48">
        <v>2</v>
      </c>
      <c r="AI62" s="49">
        <v>3.5714285714285716</v>
      </c>
      <c r="AJ62" s="48">
        <v>2</v>
      </c>
      <c r="AK62" s="49">
        <v>3.5714285714285716</v>
      </c>
      <c r="AL62" s="48">
        <v>0</v>
      </c>
      <c r="AM62" s="49">
        <v>0</v>
      </c>
      <c r="AN62" s="48">
        <v>52</v>
      </c>
      <c r="AO62" s="49">
        <v>92.85714285714286</v>
      </c>
      <c r="AP62" s="48">
        <v>56</v>
      </c>
    </row>
    <row r="63" spans="1:42" ht="15">
      <c r="A63" s="66" t="s">
        <v>778</v>
      </c>
      <c r="B63" s="66" t="s">
        <v>814</v>
      </c>
      <c r="C63" s="67" t="s">
        <v>744</v>
      </c>
      <c r="D63" s="68">
        <v>10</v>
      </c>
      <c r="E63" s="69"/>
      <c r="F63" s="70">
        <v>20</v>
      </c>
      <c r="G63" s="67"/>
      <c r="H63" s="71"/>
      <c r="I63" s="72"/>
      <c r="J63" s="72"/>
      <c r="K63" s="34" t="s">
        <v>65</v>
      </c>
      <c r="L63" s="79">
        <v>63</v>
      </c>
      <c r="M63" s="79"/>
      <c r="N63" s="74"/>
      <c r="O63" s="90" t="s">
        <v>322</v>
      </c>
      <c r="P63" s="90" t="s">
        <v>324</v>
      </c>
      <c r="Q63" s="90" t="s">
        <v>936</v>
      </c>
      <c r="R63" s="90" t="s">
        <v>778</v>
      </c>
      <c r="S63" s="90" t="s">
        <v>1085</v>
      </c>
      <c r="T63" s="93" t="str">
        <f>HYPERLINK("http://www.youtube.com/channel/UCvFvo310EFTNVcGfu0vvTPg")</f>
        <v>http://www.youtube.com/channel/UCvFvo310EFTNVcGfu0vvTPg</v>
      </c>
      <c r="U63" s="90" t="s">
        <v>1193</v>
      </c>
      <c r="V63" s="90" t="s">
        <v>1227</v>
      </c>
      <c r="W63" s="93" t="str">
        <f>HYPERLINK("https://www.youtube.com/watch?v=L3Ob_r4yk60")</f>
        <v>https://www.youtube.com/watch?v=L3Ob_r4yk60</v>
      </c>
      <c r="X63" s="90" t="s">
        <v>326</v>
      </c>
      <c r="Y63" s="90">
        <v>1</v>
      </c>
      <c r="Z63" s="96">
        <v>43912.533321759256</v>
      </c>
      <c r="AA63" s="96">
        <v>43912.533321759256</v>
      </c>
      <c r="AB63" s="90"/>
      <c r="AC63" s="90"/>
      <c r="AD63" s="90"/>
      <c r="AE63" s="90">
        <v>2</v>
      </c>
      <c r="AF63" s="89" t="str">
        <f>REPLACE(INDEX(GroupVertices[Group],MATCH(Edges[[#This Row],[Vertex 1]],GroupVertices[Vertex],0)),1,1,"")</f>
        <v>3</v>
      </c>
      <c r="AG63" s="89" t="str">
        <f>REPLACE(INDEX(GroupVertices[Group],MATCH(Edges[[#This Row],[Vertex 2]],GroupVertices[Vertex],0)),1,1,"")</f>
        <v>2</v>
      </c>
      <c r="AH63" s="48">
        <v>2</v>
      </c>
      <c r="AI63" s="49">
        <v>3.125</v>
      </c>
      <c r="AJ63" s="48">
        <v>4</v>
      </c>
      <c r="AK63" s="49">
        <v>6.25</v>
      </c>
      <c r="AL63" s="48">
        <v>0</v>
      </c>
      <c r="AM63" s="49">
        <v>0</v>
      </c>
      <c r="AN63" s="48">
        <v>58</v>
      </c>
      <c r="AO63" s="49">
        <v>90.625</v>
      </c>
      <c r="AP63" s="48">
        <v>64</v>
      </c>
    </row>
    <row r="64" spans="1:42" ht="15">
      <c r="A64" s="66" t="s">
        <v>814</v>
      </c>
      <c r="B64" s="66" t="s">
        <v>876</v>
      </c>
      <c r="C64" s="67" t="s">
        <v>744</v>
      </c>
      <c r="D64" s="68">
        <v>10</v>
      </c>
      <c r="E64" s="69"/>
      <c r="F64" s="70">
        <v>20</v>
      </c>
      <c r="G64" s="67"/>
      <c r="H64" s="71"/>
      <c r="I64" s="72"/>
      <c r="J64" s="72"/>
      <c r="K64" s="34" t="s">
        <v>65</v>
      </c>
      <c r="L64" s="79">
        <v>64</v>
      </c>
      <c r="M64" s="79"/>
      <c r="N64" s="74"/>
      <c r="O64" s="90" t="s">
        <v>323</v>
      </c>
      <c r="P64" s="90" t="s">
        <v>308</v>
      </c>
      <c r="Q64" s="90" t="s">
        <v>937</v>
      </c>
      <c r="R64" s="90" t="s">
        <v>814</v>
      </c>
      <c r="S64" s="90" t="s">
        <v>1121</v>
      </c>
      <c r="T64" s="93" t="str">
        <f>HYPERLINK("http://www.youtube.com/channel/UCKUjp1gdGVpRVCkfcUM35ng")</f>
        <v>http://www.youtube.com/channel/UCKUjp1gdGVpRVCkfcUM35ng</v>
      </c>
      <c r="U64" s="90"/>
      <c r="V64" s="90" t="s">
        <v>1227</v>
      </c>
      <c r="W64" s="93" t="str">
        <f>HYPERLINK("https://www.youtube.com/watch?v=L3Ob_r4yk60")</f>
        <v>https://www.youtube.com/watch?v=L3Ob_r4yk60</v>
      </c>
      <c r="X64" s="90" t="s">
        <v>326</v>
      </c>
      <c r="Y64" s="90">
        <v>15</v>
      </c>
      <c r="Z64" s="96">
        <v>43912.45898148148</v>
      </c>
      <c r="AA64" s="96">
        <v>43912.45898148148</v>
      </c>
      <c r="AB64" s="90"/>
      <c r="AC64" s="90"/>
      <c r="AD64" s="90"/>
      <c r="AE64" s="90">
        <v>2</v>
      </c>
      <c r="AF64" s="89" t="str">
        <f>REPLACE(INDEX(GroupVertices[Group],MATCH(Edges[[#This Row],[Vertex 1]],GroupVertices[Vertex],0)),1,1,"")</f>
        <v>2</v>
      </c>
      <c r="AG64" s="89" t="str">
        <f>REPLACE(INDEX(GroupVertices[Group],MATCH(Edges[[#This Row],[Vertex 2]],GroupVertices[Vertex],0)),1,1,"")</f>
        <v>1</v>
      </c>
      <c r="AH64" s="48">
        <v>0</v>
      </c>
      <c r="AI64" s="49">
        <v>0</v>
      </c>
      <c r="AJ64" s="48">
        <v>0</v>
      </c>
      <c r="AK64" s="49">
        <v>0</v>
      </c>
      <c r="AL64" s="48">
        <v>0</v>
      </c>
      <c r="AM64" s="49">
        <v>0</v>
      </c>
      <c r="AN64" s="48">
        <v>17</v>
      </c>
      <c r="AO64" s="49">
        <v>100</v>
      </c>
      <c r="AP64" s="48">
        <v>17</v>
      </c>
    </row>
    <row r="65" spans="1:42" ht="15">
      <c r="A65" s="66" t="s">
        <v>778</v>
      </c>
      <c r="B65" s="66" t="s">
        <v>814</v>
      </c>
      <c r="C65" s="67" t="s">
        <v>744</v>
      </c>
      <c r="D65" s="68">
        <v>10</v>
      </c>
      <c r="E65" s="69"/>
      <c r="F65" s="70">
        <v>20</v>
      </c>
      <c r="G65" s="67"/>
      <c r="H65" s="71"/>
      <c r="I65" s="72"/>
      <c r="J65" s="72"/>
      <c r="K65" s="34" t="s">
        <v>65</v>
      </c>
      <c r="L65" s="79">
        <v>65</v>
      </c>
      <c r="M65" s="79"/>
      <c r="N65" s="74"/>
      <c r="O65" s="90" t="s">
        <v>322</v>
      </c>
      <c r="P65" s="90" t="s">
        <v>324</v>
      </c>
      <c r="Q65" s="90" t="s">
        <v>938</v>
      </c>
      <c r="R65" s="90" t="s">
        <v>778</v>
      </c>
      <c r="S65" s="90" t="s">
        <v>1085</v>
      </c>
      <c r="T65" s="93" t="str">
        <f>HYPERLINK("http://www.youtube.com/channel/UCvFvo310EFTNVcGfu0vvTPg")</f>
        <v>http://www.youtube.com/channel/UCvFvo310EFTNVcGfu0vvTPg</v>
      </c>
      <c r="U65" s="90" t="s">
        <v>1192</v>
      </c>
      <c r="V65" s="90" t="s">
        <v>1227</v>
      </c>
      <c r="W65" s="93" t="str">
        <f>HYPERLINK("https://www.youtube.com/watch?v=")</f>
        <v>https://www.youtube.com/watch?v=</v>
      </c>
      <c r="X65" s="90" t="s">
        <v>326</v>
      </c>
      <c r="Y65" s="90">
        <v>5</v>
      </c>
      <c r="Z65" s="96">
        <v>43912.531319444446</v>
      </c>
      <c r="AA65" s="96">
        <v>43912.531319444446</v>
      </c>
      <c r="AB65" s="90"/>
      <c r="AC65" s="90"/>
      <c r="AD65" s="90"/>
      <c r="AE65" s="90">
        <v>2</v>
      </c>
      <c r="AF65" s="89" t="str">
        <f>REPLACE(INDEX(GroupVertices[Group],MATCH(Edges[[#This Row],[Vertex 1]],GroupVertices[Vertex],0)),1,1,"")</f>
        <v>3</v>
      </c>
      <c r="AG65" s="89" t="str">
        <f>REPLACE(INDEX(GroupVertices[Group],MATCH(Edges[[#This Row],[Vertex 2]],GroupVertices[Vertex],0)),1,1,"")</f>
        <v>2</v>
      </c>
      <c r="AH65" s="48">
        <v>0</v>
      </c>
      <c r="AI65" s="49">
        <v>0</v>
      </c>
      <c r="AJ65" s="48">
        <v>0</v>
      </c>
      <c r="AK65" s="49">
        <v>0</v>
      </c>
      <c r="AL65" s="48">
        <v>0</v>
      </c>
      <c r="AM65" s="49">
        <v>0</v>
      </c>
      <c r="AN65" s="48">
        <v>19</v>
      </c>
      <c r="AO65" s="49">
        <v>100</v>
      </c>
      <c r="AP65" s="48">
        <v>19</v>
      </c>
    </row>
    <row r="66" spans="1:42" ht="15">
      <c r="A66" s="66" t="s">
        <v>814</v>
      </c>
      <c r="B66" s="66" t="s">
        <v>814</v>
      </c>
      <c r="C66" s="67" t="s">
        <v>743</v>
      </c>
      <c r="D66" s="68">
        <v>3</v>
      </c>
      <c r="E66" s="69"/>
      <c r="F66" s="70">
        <v>50</v>
      </c>
      <c r="G66" s="67"/>
      <c r="H66" s="71"/>
      <c r="I66" s="72"/>
      <c r="J66" s="72"/>
      <c r="K66" s="34" t="s">
        <v>65</v>
      </c>
      <c r="L66" s="79">
        <v>66</v>
      </c>
      <c r="M66" s="79"/>
      <c r="N66" s="74"/>
      <c r="O66" s="90" t="s">
        <v>322</v>
      </c>
      <c r="P66" s="90" t="s">
        <v>324</v>
      </c>
      <c r="Q66" s="90" t="s">
        <v>939</v>
      </c>
      <c r="R66" s="90" t="s">
        <v>814</v>
      </c>
      <c r="S66" s="90" t="s">
        <v>1121</v>
      </c>
      <c r="T66" s="93" t="str">
        <f>HYPERLINK("http://www.youtube.com/channel/UCKUjp1gdGVpRVCkfcUM35ng")</f>
        <v>http://www.youtube.com/channel/UCKUjp1gdGVpRVCkfcUM35ng</v>
      </c>
      <c r="U66" s="90" t="s">
        <v>1192</v>
      </c>
      <c r="V66" s="90" t="s">
        <v>1227</v>
      </c>
      <c r="W66" s="93" t="str">
        <f>HYPERLINK("https://www.youtube.com/watch?v=")</f>
        <v>https://www.youtube.com/watch?v=</v>
      </c>
      <c r="X66" s="90" t="s">
        <v>326</v>
      </c>
      <c r="Y66" s="90">
        <v>3</v>
      </c>
      <c r="Z66" s="96">
        <v>43912.578888888886</v>
      </c>
      <c r="AA66" s="96">
        <v>43912.578888888886</v>
      </c>
      <c r="AB66" s="90"/>
      <c r="AC66" s="90"/>
      <c r="AD66" s="90"/>
      <c r="AE66" s="90">
        <v>1</v>
      </c>
      <c r="AF66" s="89" t="str">
        <f>REPLACE(INDEX(GroupVertices[Group],MATCH(Edges[[#This Row],[Vertex 1]],GroupVertices[Vertex],0)),1,1,"")</f>
        <v>2</v>
      </c>
      <c r="AG66" s="89" t="str">
        <f>REPLACE(INDEX(GroupVertices[Group],MATCH(Edges[[#This Row],[Vertex 2]],GroupVertices[Vertex],0)),1,1,"")</f>
        <v>2</v>
      </c>
      <c r="AH66" s="48">
        <v>0</v>
      </c>
      <c r="AI66" s="49">
        <v>0</v>
      </c>
      <c r="AJ66" s="48">
        <v>1</v>
      </c>
      <c r="AK66" s="49">
        <v>7.6923076923076925</v>
      </c>
      <c r="AL66" s="48">
        <v>0</v>
      </c>
      <c r="AM66" s="49">
        <v>0</v>
      </c>
      <c r="AN66" s="48">
        <v>12</v>
      </c>
      <c r="AO66" s="49">
        <v>92.3076923076923</v>
      </c>
      <c r="AP66" s="48">
        <v>13</v>
      </c>
    </row>
    <row r="67" spans="1:42" ht="15">
      <c r="A67" s="66" t="s">
        <v>815</v>
      </c>
      <c r="B67" s="66" t="s">
        <v>814</v>
      </c>
      <c r="C67" s="67" t="s">
        <v>743</v>
      </c>
      <c r="D67" s="68">
        <v>3</v>
      </c>
      <c r="E67" s="69"/>
      <c r="F67" s="70">
        <v>50</v>
      </c>
      <c r="G67" s="67"/>
      <c r="H67" s="71"/>
      <c r="I67" s="72"/>
      <c r="J67" s="72"/>
      <c r="K67" s="34" t="s">
        <v>65</v>
      </c>
      <c r="L67" s="79">
        <v>67</v>
      </c>
      <c r="M67" s="79"/>
      <c r="N67" s="74"/>
      <c r="O67" s="90" t="s">
        <v>322</v>
      </c>
      <c r="P67" s="90" t="s">
        <v>324</v>
      </c>
      <c r="Q67" s="90" t="s">
        <v>940</v>
      </c>
      <c r="R67" s="90" t="s">
        <v>815</v>
      </c>
      <c r="S67" s="90" t="s">
        <v>1122</v>
      </c>
      <c r="T67" s="93" t="str">
        <f>HYPERLINK("http://www.youtube.com/channel/UCBwIvSHzNL5sWjN0hcFGb2g")</f>
        <v>http://www.youtube.com/channel/UCBwIvSHzNL5sWjN0hcFGb2g</v>
      </c>
      <c r="U67" s="90" t="s">
        <v>1192</v>
      </c>
      <c r="V67" s="90" t="s">
        <v>1227</v>
      </c>
      <c r="W67" s="93" t="str">
        <f>HYPERLINK("https://www.youtube.com/watch?v=")</f>
        <v>https://www.youtube.com/watch?v=</v>
      </c>
      <c r="X67" s="90" t="s">
        <v>326</v>
      </c>
      <c r="Y67" s="90">
        <v>2</v>
      </c>
      <c r="Z67" s="96">
        <v>43912.68179398148</v>
      </c>
      <c r="AA67" s="96">
        <v>43912.68179398148</v>
      </c>
      <c r="AB67" s="90"/>
      <c r="AC67" s="90"/>
      <c r="AD67" s="90"/>
      <c r="AE67" s="90">
        <v>1</v>
      </c>
      <c r="AF67" s="89" t="str">
        <f>REPLACE(INDEX(GroupVertices[Group],MATCH(Edges[[#This Row],[Vertex 1]],GroupVertices[Vertex],0)),1,1,"")</f>
        <v>2</v>
      </c>
      <c r="AG67" s="89" t="str">
        <f>REPLACE(INDEX(GroupVertices[Group],MATCH(Edges[[#This Row],[Vertex 2]],GroupVertices[Vertex],0)),1,1,"")</f>
        <v>2</v>
      </c>
      <c r="AH67" s="48">
        <v>0</v>
      </c>
      <c r="AI67" s="49">
        <v>0</v>
      </c>
      <c r="AJ67" s="48">
        <v>0</v>
      </c>
      <c r="AK67" s="49">
        <v>0</v>
      </c>
      <c r="AL67" s="48">
        <v>0</v>
      </c>
      <c r="AM67" s="49">
        <v>0</v>
      </c>
      <c r="AN67" s="48">
        <v>7</v>
      </c>
      <c r="AO67" s="49">
        <v>100</v>
      </c>
      <c r="AP67" s="48">
        <v>7</v>
      </c>
    </row>
    <row r="68" spans="1:42" ht="15">
      <c r="A68" s="66" t="s">
        <v>814</v>
      </c>
      <c r="B68" s="66" t="s">
        <v>876</v>
      </c>
      <c r="C68" s="67" t="s">
        <v>744</v>
      </c>
      <c r="D68" s="68">
        <v>10</v>
      </c>
      <c r="E68" s="69"/>
      <c r="F68" s="70">
        <v>20</v>
      </c>
      <c r="G68" s="67"/>
      <c r="H68" s="71"/>
      <c r="I68" s="72"/>
      <c r="J68" s="72"/>
      <c r="K68" s="34" t="s">
        <v>65</v>
      </c>
      <c r="L68" s="79">
        <v>68</v>
      </c>
      <c r="M68" s="79"/>
      <c r="N68" s="74"/>
      <c r="O68" s="90" t="s">
        <v>323</v>
      </c>
      <c r="P68" s="90" t="s">
        <v>308</v>
      </c>
      <c r="Q68" s="90" t="s">
        <v>941</v>
      </c>
      <c r="R68" s="90" t="s">
        <v>814</v>
      </c>
      <c r="S68" s="90" t="s">
        <v>1121</v>
      </c>
      <c r="T68" s="93" t="str">
        <f>HYPERLINK("http://www.youtube.com/channel/UCKUjp1gdGVpRVCkfcUM35ng")</f>
        <v>http://www.youtube.com/channel/UCKUjp1gdGVpRVCkfcUM35ng</v>
      </c>
      <c r="U68" s="90"/>
      <c r="V68" s="90" t="s">
        <v>1227</v>
      </c>
      <c r="W68" s="93" t="str">
        <f>HYPERLINK("https://www.youtube.com/watch?v=L3Ob_r4yk60")</f>
        <v>https://www.youtube.com/watch?v=L3Ob_r4yk60</v>
      </c>
      <c r="X68" s="90" t="s">
        <v>326</v>
      </c>
      <c r="Y68" s="90">
        <v>54</v>
      </c>
      <c r="Z68" s="96">
        <v>43912.46659722222</v>
      </c>
      <c r="AA68" s="96">
        <v>43912.46659722222</v>
      </c>
      <c r="AB68" s="90"/>
      <c r="AC68" s="90"/>
      <c r="AD68" s="90"/>
      <c r="AE68" s="90">
        <v>2</v>
      </c>
      <c r="AF68" s="89" t="str">
        <f>REPLACE(INDEX(GroupVertices[Group],MATCH(Edges[[#This Row],[Vertex 1]],GroupVertices[Vertex],0)),1,1,"")</f>
        <v>2</v>
      </c>
      <c r="AG68" s="89" t="str">
        <f>REPLACE(INDEX(GroupVertices[Group],MATCH(Edges[[#This Row],[Vertex 2]],GroupVertices[Vertex],0)),1,1,"")</f>
        <v>1</v>
      </c>
      <c r="AH68" s="48">
        <v>5</v>
      </c>
      <c r="AI68" s="49">
        <v>5.617977528089888</v>
      </c>
      <c r="AJ68" s="48">
        <v>1</v>
      </c>
      <c r="AK68" s="49">
        <v>1.1235955056179776</v>
      </c>
      <c r="AL68" s="48">
        <v>0</v>
      </c>
      <c r="AM68" s="49">
        <v>0</v>
      </c>
      <c r="AN68" s="48">
        <v>83</v>
      </c>
      <c r="AO68" s="49">
        <v>93.25842696629213</v>
      </c>
      <c r="AP68" s="48">
        <v>89</v>
      </c>
    </row>
    <row r="69" spans="1:42" ht="15">
      <c r="A69" s="66" t="s">
        <v>801</v>
      </c>
      <c r="B69" s="66" t="s">
        <v>816</v>
      </c>
      <c r="C69" s="67" t="s">
        <v>743</v>
      </c>
      <c r="D69" s="68">
        <v>3</v>
      </c>
      <c r="E69" s="69"/>
      <c r="F69" s="70">
        <v>50</v>
      </c>
      <c r="G69" s="67"/>
      <c r="H69" s="71"/>
      <c r="I69" s="72"/>
      <c r="J69" s="72"/>
      <c r="K69" s="34" t="s">
        <v>65</v>
      </c>
      <c r="L69" s="79">
        <v>69</v>
      </c>
      <c r="M69" s="79"/>
      <c r="N69" s="74"/>
      <c r="O69" s="90" t="s">
        <v>322</v>
      </c>
      <c r="P69" s="90" t="s">
        <v>324</v>
      </c>
      <c r="Q69" s="90" t="s">
        <v>942</v>
      </c>
      <c r="R69" s="90" t="s">
        <v>801</v>
      </c>
      <c r="S69" s="90" t="s">
        <v>1108</v>
      </c>
      <c r="T69" s="93" t="str">
        <f>HYPERLINK("http://www.youtube.com/channel/UC4GOUO7fjBrBfeRSiMAl31Q")</f>
        <v>http://www.youtube.com/channel/UC4GOUO7fjBrBfeRSiMAl31Q</v>
      </c>
      <c r="U69" s="90" t="s">
        <v>1194</v>
      </c>
      <c r="V69" s="90" t="s">
        <v>1227</v>
      </c>
      <c r="W69" s="93" t="str">
        <f>HYPERLINK("https://www.youtube.com/watch?v=L3Ob_r4yk60")</f>
        <v>https://www.youtube.com/watch?v=L3Ob_r4yk60</v>
      </c>
      <c r="X69" s="90" t="s">
        <v>326</v>
      </c>
      <c r="Y69" s="90">
        <v>2</v>
      </c>
      <c r="Z69" s="96">
        <v>43912.47511574074</v>
      </c>
      <c r="AA69" s="96">
        <v>43912.47511574074</v>
      </c>
      <c r="AB69" s="90"/>
      <c r="AC69" s="90"/>
      <c r="AD69" s="90"/>
      <c r="AE69" s="90">
        <v>1</v>
      </c>
      <c r="AF69" s="89" t="str">
        <f>REPLACE(INDEX(GroupVertices[Group],MATCH(Edges[[#This Row],[Vertex 1]],GroupVertices[Vertex],0)),1,1,"")</f>
        <v>8</v>
      </c>
      <c r="AG69" s="89" t="str">
        <f>REPLACE(INDEX(GroupVertices[Group],MATCH(Edges[[#This Row],[Vertex 2]],GroupVertices[Vertex],0)),1,1,"")</f>
        <v>8</v>
      </c>
      <c r="AH69" s="48">
        <v>0</v>
      </c>
      <c r="AI69" s="49">
        <v>0</v>
      </c>
      <c r="AJ69" s="48">
        <v>0</v>
      </c>
      <c r="AK69" s="49">
        <v>0</v>
      </c>
      <c r="AL69" s="48">
        <v>0</v>
      </c>
      <c r="AM69" s="49">
        <v>0</v>
      </c>
      <c r="AN69" s="48">
        <v>17</v>
      </c>
      <c r="AO69" s="49">
        <v>100</v>
      </c>
      <c r="AP69" s="48">
        <v>17</v>
      </c>
    </row>
    <row r="70" spans="1:42" ht="15">
      <c r="A70" s="66" t="s">
        <v>800</v>
      </c>
      <c r="B70" s="66" t="s">
        <v>816</v>
      </c>
      <c r="C70" s="67" t="s">
        <v>743</v>
      </c>
      <c r="D70" s="68">
        <v>3</v>
      </c>
      <c r="E70" s="69"/>
      <c r="F70" s="70">
        <v>50</v>
      </c>
      <c r="G70" s="67"/>
      <c r="H70" s="71"/>
      <c r="I70" s="72"/>
      <c r="J70" s="72"/>
      <c r="K70" s="34" t="s">
        <v>65</v>
      </c>
      <c r="L70" s="79">
        <v>70</v>
      </c>
      <c r="M70" s="79"/>
      <c r="N70" s="74"/>
      <c r="O70" s="90" t="s">
        <v>322</v>
      </c>
      <c r="P70" s="90" t="s">
        <v>324</v>
      </c>
      <c r="Q70" s="90" t="s">
        <v>943</v>
      </c>
      <c r="R70" s="90" t="s">
        <v>800</v>
      </c>
      <c r="S70" s="90" t="s">
        <v>1107</v>
      </c>
      <c r="T70" s="93" t="str">
        <f>HYPERLINK("http://www.youtube.com/channel/UCLswkNtcRTygrVqG-VufI9A")</f>
        <v>http://www.youtube.com/channel/UCLswkNtcRTygrVqG-VufI9A</v>
      </c>
      <c r="U70" s="90" t="s">
        <v>1194</v>
      </c>
      <c r="V70" s="90" t="s">
        <v>1227</v>
      </c>
      <c r="W70" s="93" t="str">
        <f>HYPERLINK("https://www.youtube.com/watch?v=L3Ob_r4yk60")</f>
        <v>https://www.youtube.com/watch?v=L3Ob_r4yk60</v>
      </c>
      <c r="X70" s="90" t="s">
        <v>326</v>
      </c>
      <c r="Y70" s="90">
        <v>2</v>
      </c>
      <c r="Z70" s="96">
        <v>43912.48539351852</v>
      </c>
      <c r="AA70" s="96">
        <v>43912.48539351852</v>
      </c>
      <c r="AB70" s="90"/>
      <c r="AC70" s="90"/>
      <c r="AD70" s="90"/>
      <c r="AE70" s="90">
        <v>1</v>
      </c>
      <c r="AF70" s="89" t="str">
        <f>REPLACE(INDEX(GroupVertices[Group],MATCH(Edges[[#This Row],[Vertex 1]],GroupVertices[Vertex],0)),1,1,"")</f>
        <v>8</v>
      </c>
      <c r="AG70" s="89" t="str">
        <f>REPLACE(INDEX(GroupVertices[Group],MATCH(Edges[[#This Row],[Vertex 2]],GroupVertices[Vertex],0)),1,1,"")</f>
        <v>8</v>
      </c>
      <c r="AH70" s="48">
        <v>0</v>
      </c>
      <c r="AI70" s="49">
        <v>0</v>
      </c>
      <c r="AJ70" s="48">
        <v>1</v>
      </c>
      <c r="AK70" s="49">
        <v>8.333333333333334</v>
      </c>
      <c r="AL70" s="48">
        <v>0</v>
      </c>
      <c r="AM70" s="49">
        <v>0</v>
      </c>
      <c r="AN70" s="48">
        <v>11</v>
      </c>
      <c r="AO70" s="49">
        <v>91.66666666666667</v>
      </c>
      <c r="AP70" s="48">
        <v>12</v>
      </c>
    </row>
    <row r="71" spans="1:42" ht="15">
      <c r="A71" s="66" t="s">
        <v>816</v>
      </c>
      <c r="B71" s="66" t="s">
        <v>876</v>
      </c>
      <c r="C71" s="67" t="s">
        <v>743</v>
      </c>
      <c r="D71" s="68">
        <v>3</v>
      </c>
      <c r="E71" s="69"/>
      <c r="F71" s="70">
        <v>50</v>
      </c>
      <c r="G71" s="67"/>
      <c r="H71" s="71"/>
      <c r="I71" s="72"/>
      <c r="J71" s="72"/>
      <c r="K71" s="34" t="s">
        <v>65</v>
      </c>
      <c r="L71" s="79">
        <v>71</v>
      </c>
      <c r="M71" s="79"/>
      <c r="N71" s="74"/>
      <c r="O71" s="90" t="s">
        <v>323</v>
      </c>
      <c r="P71" s="90" t="s">
        <v>308</v>
      </c>
      <c r="Q71" s="90" t="s">
        <v>944</v>
      </c>
      <c r="R71" s="90" t="s">
        <v>816</v>
      </c>
      <c r="S71" s="90" t="s">
        <v>1123</v>
      </c>
      <c r="T71" s="93" t="str">
        <f>HYPERLINK("http://www.youtube.com/channel/UCR-x4R2A66CvfBD3G3mFtkQ")</f>
        <v>http://www.youtube.com/channel/UCR-x4R2A66CvfBD3G3mFtkQ</v>
      </c>
      <c r="U71" s="90"/>
      <c r="V71" s="90" t="s">
        <v>1227</v>
      </c>
      <c r="W71" s="93" t="str">
        <f>HYPERLINK("https://www.youtube.com/watch?v=L3Ob_r4yk60")</f>
        <v>https://www.youtube.com/watch?v=L3Ob_r4yk60</v>
      </c>
      <c r="X71" s="90" t="s">
        <v>326</v>
      </c>
      <c r="Y71" s="90">
        <v>3</v>
      </c>
      <c r="Z71" s="96">
        <v>43912.46685185185</v>
      </c>
      <c r="AA71" s="96">
        <v>43912.46685185185</v>
      </c>
      <c r="AB71" s="90"/>
      <c r="AC71" s="90"/>
      <c r="AD71" s="90"/>
      <c r="AE71" s="90">
        <v>1</v>
      </c>
      <c r="AF71" s="89" t="str">
        <f>REPLACE(INDEX(GroupVertices[Group],MATCH(Edges[[#This Row],[Vertex 1]],GroupVertices[Vertex],0)),1,1,"")</f>
        <v>8</v>
      </c>
      <c r="AG71" s="89" t="str">
        <f>REPLACE(INDEX(GroupVertices[Group],MATCH(Edges[[#This Row],[Vertex 2]],GroupVertices[Vertex],0)),1,1,"")</f>
        <v>1</v>
      </c>
      <c r="AH71" s="48">
        <v>0</v>
      </c>
      <c r="AI71" s="49">
        <v>0</v>
      </c>
      <c r="AJ71" s="48">
        <v>1</v>
      </c>
      <c r="AK71" s="49">
        <v>3.3333333333333335</v>
      </c>
      <c r="AL71" s="48">
        <v>0</v>
      </c>
      <c r="AM71" s="49">
        <v>0</v>
      </c>
      <c r="AN71" s="48">
        <v>29</v>
      </c>
      <c r="AO71" s="49">
        <v>96.66666666666667</v>
      </c>
      <c r="AP71" s="48">
        <v>30</v>
      </c>
    </row>
    <row r="72" spans="1:42" ht="15">
      <c r="A72" s="66" t="s">
        <v>815</v>
      </c>
      <c r="B72" s="66" t="s">
        <v>817</v>
      </c>
      <c r="C72" s="67" t="s">
        <v>743</v>
      </c>
      <c r="D72" s="68">
        <v>3</v>
      </c>
      <c r="E72" s="69"/>
      <c r="F72" s="70">
        <v>50</v>
      </c>
      <c r="G72" s="67"/>
      <c r="H72" s="71"/>
      <c r="I72" s="72"/>
      <c r="J72" s="72"/>
      <c r="K72" s="34" t="s">
        <v>65</v>
      </c>
      <c r="L72" s="79">
        <v>72</v>
      </c>
      <c r="M72" s="79"/>
      <c r="N72" s="74"/>
      <c r="O72" s="90" t="s">
        <v>322</v>
      </c>
      <c r="P72" s="90" t="s">
        <v>324</v>
      </c>
      <c r="Q72" s="90" t="s">
        <v>945</v>
      </c>
      <c r="R72" s="90" t="s">
        <v>815</v>
      </c>
      <c r="S72" s="90" t="s">
        <v>1122</v>
      </c>
      <c r="T72" s="93" t="str">
        <f>HYPERLINK("http://www.youtube.com/channel/UCBwIvSHzNL5sWjN0hcFGb2g")</f>
        <v>http://www.youtube.com/channel/UCBwIvSHzNL5sWjN0hcFGb2g</v>
      </c>
      <c r="U72" s="90" t="s">
        <v>1195</v>
      </c>
      <c r="V72" s="90" t="s">
        <v>1227</v>
      </c>
      <c r="W72" s="93" t="str">
        <f>HYPERLINK("https://www.youtube.com/watch?v=L3Ob_r4yk60")</f>
        <v>https://www.youtube.com/watch?v=L3Ob_r4yk60</v>
      </c>
      <c r="X72" s="90" t="s">
        <v>326</v>
      </c>
      <c r="Y72" s="90">
        <v>0</v>
      </c>
      <c r="Z72" s="96">
        <v>43912.68050925926</v>
      </c>
      <c r="AA72" s="96">
        <v>43912.68050925926</v>
      </c>
      <c r="AB72" s="90"/>
      <c r="AC72" s="90"/>
      <c r="AD72" s="90"/>
      <c r="AE72" s="90">
        <v>1</v>
      </c>
      <c r="AF72" s="89" t="str">
        <f>REPLACE(INDEX(GroupVertices[Group],MATCH(Edges[[#This Row],[Vertex 1]],GroupVertices[Vertex],0)),1,1,"")</f>
        <v>2</v>
      </c>
      <c r="AG72" s="89" t="str">
        <f>REPLACE(INDEX(GroupVertices[Group],MATCH(Edges[[#This Row],[Vertex 2]],GroupVertices[Vertex],0)),1,1,"")</f>
        <v>2</v>
      </c>
      <c r="AH72" s="48">
        <v>1</v>
      </c>
      <c r="AI72" s="49">
        <v>5.555555555555555</v>
      </c>
      <c r="AJ72" s="48">
        <v>0</v>
      </c>
      <c r="AK72" s="49">
        <v>0</v>
      </c>
      <c r="AL72" s="48">
        <v>0</v>
      </c>
      <c r="AM72" s="49">
        <v>0</v>
      </c>
      <c r="AN72" s="48">
        <v>17</v>
      </c>
      <c r="AO72" s="49">
        <v>94.44444444444444</v>
      </c>
      <c r="AP72" s="48">
        <v>18</v>
      </c>
    </row>
    <row r="73" spans="1:42" ht="15">
      <c r="A73" s="66" t="s">
        <v>817</v>
      </c>
      <c r="B73" s="66" t="s">
        <v>876</v>
      </c>
      <c r="C73" s="67" t="s">
        <v>743</v>
      </c>
      <c r="D73" s="68">
        <v>3</v>
      </c>
      <c r="E73" s="69"/>
      <c r="F73" s="70">
        <v>50</v>
      </c>
      <c r="G73" s="67"/>
      <c r="H73" s="71"/>
      <c r="I73" s="72"/>
      <c r="J73" s="72"/>
      <c r="K73" s="34" t="s">
        <v>65</v>
      </c>
      <c r="L73" s="79">
        <v>73</v>
      </c>
      <c r="M73" s="79"/>
      <c r="N73" s="74"/>
      <c r="O73" s="90" t="s">
        <v>323</v>
      </c>
      <c r="P73" s="90" t="s">
        <v>308</v>
      </c>
      <c r="Q73" s="90" t="s">
        <v>946</v>
      </c>
      <c r="R73" s="90" t="s">
        <v>817</v>
      </c>
      <c r="S73" s="90" t="s">
        <v>1124</v>
      </c>
      <c r="T73" s="93" t="str">
        <f>HYPERLINK("http://www.youtube.com/channel/UCrW4LjX9jhCdjmqt9vLpBuQ")</f>
        <v>http://www.youtube.com/channel/UCrW4LjX9jhCdjmqt9vLpBuQ</v>
      </c>
      <c r="U73" s="90"/>
      <c r="V73" s="90" t="s">
        <v>1227</v>
      </c>
      <c r="W73" s="93" t="str">
        <f>HYPERLINK("https://www.youtube.com/watch?v=L3Ob_r4yk60")</f>
        <v>https://www.youtube.com/watch?v=L3Ob_r4yk60</v>
      </c>
      <c r="X73" s="90" t="s">
        <v>326</v>
      </c>
      <c r="Y73" s="90">
        <v>21</v>
      </c>
      <c r="Z73" s="96">
        <v>43912.46708333334</v>
      </c>
      <c r="AA73" s="96">
        <v>43912.46708333334</v>
      </c>
      <c r="AB73" s="90"/>
      <c r="AC73" s="90"/>
      <c r="AD73" s="90"/>
      <c r="AE73" s="90">
        <v>1</v>
      </c>
      <c r="AF73" s="89" t="str">
        <f>REPLACE(INDEX(GroupVertices[Group],MATCH(Edges[[#This Row],[Vertex 1]],GroupVertices[Vertex],0)),1,1,"")</f>
        <v>2</v>
      </c>
      <c r="AG73" s="89" t="str">
        <f>REPLACE(INDEX(GroupVertices[Group],MATCH(Edges[[#This Row],[Vertex 2]],GroupVertices[Vertex],0)),1,1,"")</f>
        <v>1</v>
      </c>
      <c r="AH73" s="48">
        <v>1</v>
      </c>
      <c r="AI73" s="49">
        <v>1.0416666666666667</v>
      </c>
      <c r="AJ73" s="48">
        <v>1</v>
      </c>
      <c r="AK73" s="49">
        <v>1.0416666666666667</v>
      </c>
      <c r="AL73" s="48">
        <v>0</v>
      </c>
      <c r="AM73" s="49">
        <v>0</v>
      </c>
      <c r="AN73" s="48">
        <v>94</v>
      </c>
      <c r="AO73" s="49">
        <v>97.91666666666667</v>
      </c>
      <c r="AP73" s="48">
        <v>96</v>
      </c>
    </row>
    <row r="74" spans="1:42" ht="15">
      <c r="A74" s="66" t="s">
        <v>800</v>
      </c>
      <c r="B74" s="66" t="s">
        <v>819</v>
      </c>
      <c r="C74" s="67" t="s">
        <v>743</v>
      </c>
      <c r="D74" s="68">
        <v>3</v>
      </c>
      <c r="E74" s="69"/>
      <c r="F74" s="70">
        <v>50</v>
      </c>
      <c r="G74" s="67"/>
      <c r="H74" s="71"/>
      <c r="I74" s="72"/>
      <c r="J74" s="72"/>
      <c r="K74" s="34" t="s">
        <v>65</v>
      </c>
      <c r="L74" s="79">
        <v>74</v>
      </c>
      <c r="M74" s="79"/>
      <c r="N74" s="74"/>
      <c r="O74" s="90" t="s">
        <v>322</v>
      </c>
      <c r="P74" s="90" t="s">
        <v>324</v>
      </c>
      <c r="Q74" s="90" t="s">
        <v>947</v>
      </c>
      <c r="R74" s="90" t="s">
        <v>800</v>
      </c>
      <c r="S74" s="90" t="s">
        <v>1107</v>
      </c>
      <c r="T74" s="93" t="str">
        <f>HYPERLINK("http://www.youtube.com/channel/UCLswkNtcRTygrVqG-VufI9A")</f>
        <v>http://www.youtube.com/channel/UCLswkNtcRTygrVqG-VufI9A</v>
      </c>
      <c r="U74" s="90" t="s">
        <v>1196</v>
      </c>
      <c r="V74" s="90" t="s">
        <v>1227</v>
      </c>
      <c r="W74" s="93" t="str">
        <f>HYPERLINK("https://www.youtube.com/watch?v=L3Ob_r4yk60")</f>
        <v>https://www.youtube.com/watch?v=L3Ob_r4yk60</v>
      </c>
      <c r="X74" s="90" t="s">
        <v>326</v>
      </c>
      <c r="Y74" s="90">
        <v>3</v>
      </c>
      <c r="Z74" s="96">
        <v>43912.48888888889</v>
      </c>
      <c r="AA74" s="96">
        <v>43912.48888888889</v>
      </c>
      <c r="AB74" s="90"/>
      <c r="AC74" s="90"/>
      <c r="AD74" s="90"/>
      <c r="AE74" s="90">
        <v>1</v>
      </c>
      <c r="AF74" s="89" t="str">
        <f>REPLACE(INDEX(GroupVertices[Group],MATCH(Edges[[#This Row],[Vertex 1]],GroupVertices[Vertex],0)),1,1,"")</f>
        <v>8</v>
      </c>
      <c r="AG74" s="89" t="str">
        <f>REPLACE(INDEX(GroupVertices[Group],MATCH(Edges[[#This Row],[Vertex 2]],GroupVertices[Vertex],0)),1,1,"")</f>
        <v>4</v>
      </c>
      <c r="AH74" s="48">
        <v>0</v>
      </c>
      <c r="AI74" s="49">
        <v>0</v>
      </c>
      <c r="AJ74" s="48">
        <v>1</v>
      </c>
      <c r="AK74" s="49">
        <v>10</v>
      </c>
      <c r="AL74" s="48">
        <v>0</v>
      </c>
      <c r="AM74" s="49">
        <v>0</v>
      </c>
      <c r="AN74" s="48">
        <v>9</v>
      </c>
      <c r="AO74" s="49">
        <v>90</v>
      </c>
      <c r="AP74" s="48">
        <v>10</v>
      </c>
    </row>
    <row r="75" spans="1:42" ht="15">
      <c r="A75" s="66" t="s">
        <v>818</v>
      </c>
      <c r="B75" s="66" t="s">
        <v>819</v>
      </c>
      <c r="C75" s="67" t="s">
        <v>743</v>
      </c>
      <c r="D75" s="68">
        <v>3</v>
      </c>
      <c r="E75" s="69"/>
      <c r="F75" s="70">
        <v>50</v>
      </c>
      <c r="G75" s="67"/>
      <c r="H75" s="71"/>
      <c r="I75" s="72"/>
      <c r="J75" s="72"/>
      <c r="K75" s="34" t="s">
        <v>65</v>
      </c>
      <c r="L75" s="79">
        <v>75</v>
      </c>
      <c r="M75" s="79"/>
      <c r="N75" s="74"/>
      <c r="O75" s="90" t="s">
        <v>322</v>
      </c>
      <c r="P75" s="90" t="s">
        <v>324</v>
      </c>
      <c r="Q75" s="90" t="s">
        <v>948</v>
      </c>
      <c r="R75" s="90" t="s">
        <v>818</v>
      </c>
      <c r="S75" s="90" t="s">
        <v>1125</v>
      </c>
      <c r="T75" s="93" t="str">
        <f>HYPERLINK("http://www.youtube.com/channel/UCSNwk1mZCxz0WkWk4C1AOog")</f>
        <v>http://www.youtube.com/channel/UCSNwk1mZCxz0WkWk4C1AOog</v>
      </c>
      <c r="U75" s="90" t="s">
        <v>1196</v>
      </c>
      <c r="V75" s="90" t="s">
        <v>1227</v>
      </c>
      <c r="W75" s="93" t="str">
        <f>HYPERLINK("https://www.youtube.com/watch?v=L3Ob_r4yk60")</f>
        <v>https://www.youtube.com/watch?v=L3Ob_r4yk60</v>
      </c>
      <c r="X75" s="90" t="s">
        <v>326</v>
      </c>
      <c r="Y75" s="90">
        <v>1</v>
      </c>
      <c r="Z75" s="96">
        <v>43912.57394675926</v>
      </c>
      <c r="AA75" s="96">
        <v>43912.57394675926</v>
      </c>
      <c r="AB75" s="90"/>
      <c r="AC75" s="90"/>
      <c r="AD75" s="90"/>
      <c r="AE75" s="90">
        <v>1</v>
      </c>
      <c r="AF75" s="89" t="str">
        <f>REPLACE(INDEX(GroupVertices[Group],MATCH(Edges[[#This Row],[Vertex 1]],GroupVertices[Vertex],0)),1,1,"")</f>
        <v>4</v>
      </c>
      <c r="AG75" s="89" t="str">
        <f>REPLACE(INDEX(GroupVertices[Group],MATCH(Edges[[#This Row],[Vertex 2]],GroupVertices[Vertex],0)),1,1,"")</f>
        <v>4</v>
      </c>
      <c r="AH75" s="48">
        <v>1</v>
      </c>
      <c r="AI75" s="49">
        <v>5</v>
      </c>
      <c r="AJ75" s="48">
        <v>0</v>
      </c>
      <c r="AK75" s="49">
        <v>0</v>
      </c>
      <c r="AL75" s="48">
        <v>0</v>
      </c>
      <c r="AM75" s="49">
        <v>0</v>
      </c>
      <c r="AN75" s="48">
        <v>19</v>
      </c>
      <c r="AO75" s="49">
        <v>95</v>
      </c>
      <c r="AP75" s="48">
        <v>20</v>
      </c>
    </row>
    <row r="76" spans="1:42" ht="15">
      <c r="A76" s="66" t="s">
        <v>819</v>
      </c>
      <c r="B76" s="66" t="s">
        <v>876</v>
      </c>
      <c r="C76" s="67" t="s">
        <v>743</v>
      </c>
      <c r="D76" s="68">
        <v>3</v>
      </c>
      <c r="E76" s="69"/>
      <c r="F76" s="70">
        <v>50</v>
      </c>
      <c r="G76" s="67"/>
      <c r="H76" s="71"/>
      <c r="I76" s="72"/>
      <c r="J76" s="72"/>
      <c r="K76" s="34" t="s">
        <v>65</v>
      </c>
      <c r="L76" s="79">
        <v>76</v>
      </c>
      <c r="M76" s="79"/>
      <c r="N76" s="74"/>
      <c r="O76" s="90" t="s">
        <v>323</v>
      </c>
      <c r="P76" s="90" t="s">
        <v>308</v>
      </c>
      <c r="Q76" s="90" t="s">
        <v>949</v>
      </c>
      <c r="R76" s="90" t="s">
        <v>819</v>
      </c>
      <c r="S76" s="90" t="s">
        <v>1126</v>
      </c>
      <c r="T76" s="93" t="str">
        <f>HYPERLINK("http://www.youtube.com/channel/UCz4TH5L5v9eAbJ1gpw-vLeg")</f>
        <v>http://www.youtube.com/channel/UCz4TH5L5v9eAbJ1gpw-vLeg</v>
      </c>
      <c r="U76" s="90"/>
      <c r="V76" s="90" t="s">
        <v>1227</v>
      </c>
      <c r="W76" s="93" t="str">
        <f>HYPERLINK("https://www.youtube.com/watch?v=L3Ob_r4yk60")</f>
        <v>https://www.youtube.com/watch?v=L3Ob_r4yk60</v>
      </c>
      <c r="X76" s="90" t="s">
        <v>326</v>
      </c>
      <c r="Y76" s="90">
        <v>82</v>
      </c>
      <c r="Z76" s="96">
        <v>43912.46827546296</v>
      </c>
      <c r="AA76" s="96">
        <v>43912.46827546296</v>
      </c>
      <c r="AB76" s="90"/>
      <c r="AC76" s="90"/>
      <c r="AD76" s="90"/>
      <c r="AE76" s="90">
        <v>1</v>
      </c>
      <c r="AF76" s="89" t="str">
        <f>REPLACE(INDEX(GroupVertices[Group],MATCH(Edges[[#This Row],[Vertex 1]],GroupVertices[Vertex],0)),1,1,"")</f>
        <v>4</v>
      </c>
      <c r="AG76" s="89" t="str">
        <f>REPLACE(INDEX(GroupVertices[Group],MATCH(Edges[[#This Row],[Vertex 2]],GroupVertices[Vertex],0)),1,1,"")</f>
        <v>1</v>
      </c>
      <c r="AH76" s="48">
        <v>1</v>
      </c>
      <c r="AI76" s="49">
        <v>2.5</v>
      </c>
      <c r="AJ76" s="48">
        <v>1</v>
      </c>
      <c r="AK76" s="49">
        <v>2.5</v>
      </c>
      <c r="AL76" s="48">
        <v>0</v>
      </c>
      <c r="AM76" s="49">
        <v>0</v>
      </c>
      <c r="AN76" s="48">
        <v>38</v>
      </c>
      <c r="AO76" s="49">
        <v>95</v>
      </c>
      <c r="AP76" s="48">
        <v>40</v>
      </c>
    </row>
    <row r="77" spans="1:42" ht="15">
      <c r="A77" s="66" t="s">
        <v>820</v>
      </c>
      <c r="B77" s="66" t="s">
        <v>825</v>
      </c>
      <c r="C77" s="67" t="s">
        <v>743</v>
      </c>
      <c r="D77" s="68">
        <v>3</v>
      </c>
      <c r="E77" s="69"/>
      <c r="F77" s="70">
        <v>50</v>
      </c>
      <c r="G77" s="67"/>
      <c r="H77" s="71"/>
      <c r="I77" s="72"/>
      <c r="J77" s="72"/>
      <c r="K77" s="34" t="s">
        <v>65</v>
      </c>
      <c r="L77" s="79">
        <v>77</v>
      </c>
      <c r="M77" s="79"/>
      <c r="N77" s="74"/>
      <c r="O77" s="90" t="s">
        <v>322</v>
      </c>
      <c r="P77" s="90" t="s">
        <v>324</v>
      </c>
      <c r="Q77" s="90" t="s">
        <v>950</v>
      </c>
      <c r="R77" s="90" t="s">
        <v>820</v>
      </c>
      <c r="S77" s="90" t="s">
        <v>1127</v>
      </c>
      <c r="T77" s="93" t="str">
        <f>HYPERLINK("http://www.youtube.com/channel/UC5BuVr5uirGZhG0qsletd5A")</f>
        <v>http://www.youtube.com/channel/UC5BuVr5uirGZhG0qsletd5A</v>
      </c>
      <c r="U77" s="90" t="s">
        <v>1197</v>
      </c>
      <c r="V77" s="90" t="s">
        <v>1227</v>
      </c>
      <c r="W77" s="93" t="str">
        <f>HYPERLINK("https://www.youtube.com/watch?v=")</f>
        <v>https://www.youtube.com/watch?v=</v>
      </c>
      <c r="X77" s="90" t="s">
        <v>326</v>
      </c>
      <c r="Y77" s="90">
        <v>15</v>
      </c>
      <c r="Z77" s="96">
        <v>43912.48820601852</v>
      </c>
      <c r="AA77" s="96">
        <v>43912.48820601852</v>
      </c>
      <c r="AB77" s="90"/>
      <c r="AC77" s="90"/>
      <c r="AD77" s="90"/>
      <c r="AE77" s="90">
        <v>1</v>
      </c>
      <c r="AF77" s="89" t="str">
        <f>REPLACE(INDEX(GroupVertices[Group],MATCH(Edges[[#This Row],[Vertex 1]],GroupVertices[Vertex],0)),1,1,"")</f>
        <v>6</v>
      </c>
      <c r="AG77" s="89" t="str">
        <f>REPLACE(INDEX(GroupVertices[Group],MATCH(Edges[[#This Row],[Vertex 2]],GroupVertices[Vertex],0)),1,1,"")</f>
        <v>6</v>
      </c>
      <c r="AH77" s="48">
        <v>0</v>
      </c>
      <c r="AI77" s="49">
        <v>0</v>
      </c>
      <c r="AJ77" s="48">
        <v>0</v>
      </c>
      <c r="AK77" s="49">
        <v>0</v>
      </c>
      <c r="AL77" s="48">
        <v>0</v>
      </c>
      <c r="AM77" s="49">
        <v>0</v>
      </c>
      <c r="AN77" s="48">
        <v>11</v>
      </c>
      <c r="AO77" s="49">
        <v>100</v>
      </c>
      <c r="AP77" s="48">
        <v>11</v>
      </c>
    </row>
    <row r="78" spans="1:42" ht="15">
      <c r="A78" s="66" t="s">
        <v>821</v>
      </c>
      <c r="B78" s="66" t="s">
        <v>825</v>
      </c>
      <c r="C78" s="67" t="s">
        <v>743</v>
      </c>
      <c r="D78" s="68">
        <v>3</v>
      </c>
      <c r="E78" s="69"/>
      <c r="F78" s="70">
        <v>50</v>
      </c>
      <c r="G78" s="67"/>
      <c r="H78" s="71"/>
      <c r="I78" s="72"/>
      <c r="J78" s="72"/>
      <c r="K78" s="34" t="s">
        <v>65</v>
      </c>
      <c r="L78" s="79">
        <v>78</v>
      </c>
      <c r="M78" s="79"/>
      <c r="N78" s="74"/>
      <c r="O78" s="90" t="s">
        <v>322</v>
      </c>
      <c r="P78" s="90" t="s">
        <v>324</v>
      </c>
      <c r="Q78" s="90" t="s">
        <v>951</v>
      </c>
      <c r="R78" s="90" t="s">
        <v>821</v>
      </c>
      <c r="S78" s="90" t="s">
        <v>1128</v>
      </c>
      <c r="T78" s="93" t="str">
        <f>HYPERLINK("http://www.youtube.com/channel/UCIPm0BcT0umjrI9mw0bsHYA")</f>
        <v>http://www.youtube.com/channel/UCIPm0BcT0umjrI9mw0bsHYA</v>
      </c>
      <c r="U78" s="90" t="s">
        <v>1197</v>
      </c>
      <c r="V78" s="90" t="s">
        <v>1227</v>
      </c>
      <c r="W78" s="93" t="str">
        <f>HYPERLINK("https://www.youtube.com/watch?v=")</f>
        <v>https://www.youtube.com/watch?v=</v>
      </c>
      <c r="X78" s="90" t="s">
        <v>326</v>
      </c>
      <c r="Y78" s="90">
        <v>8</v>
      </c>
      <c r="Z78" s="96">
        <v>43912.55805555556</v>
      </c>
      <c r="AA78" s="96">
        <v>43912.55805555556</v>
      </c>
      <c r="AB78" s="90"/>
      <c r="AC78" s="90"/>
      <c r="AD78" s="90"/>
      <c r="AE78" s="90">
        <v>1</v>
      </c>
      <c r="AF78" s="89" t="str">
        <f>REPLACE(INDEX(GroupVertices[Group],MATCH(Edges[[#This Row],[Vertex 1]],GroupVertices[Vertex],0)),1,1,"")</f>
        <v>6</v>
      </c>
      <c r="AG78" s="89" t="str">
        <f>REPLACE(INDEX(GroupVertices[Group],MATCH(Edges[[#This Row],[Vertex 2]],GroupVertices[Vertex],0)),1,1,"")</f>
        <v>6</v>
      </c>
      <c r="AH78" s="48">
        <v>0</v>
      </c>
      <c r="AI78" s="49">
        <v>0</v>
      </c>
      <c r="AJ78" s="48">
        <v>0</v>
      </c>
      <c r="AK78" s="49">
        <v>0</v>
      </c>
      <c r="AL78" s="48">
        <v>0</v>
      </c>
      <c r="AM78" s="49">
        <v>0</v>
      </c>
      <c r="AN78" s="48">
        <v>1</v>
      </c>
      <c r="AO78" s="49">
        <v>100</v>
      </c>
      <c r="AP78" s="48">
        <v>1</v>
      </c>
    </row>
    <row r="79" spans="1:42" ht="15">
      <c r="A79" s="66" t="s">
        <v>822</v>
      </c>
      <c r="B79" s="66" t="s">
        <v>825</v>
      </c>
      <c r="C79" s="67" t="s">
        <v>743</v>
      </c>
      <c r="D79" s="68">
        <v>3</v>
      </c>
      <c r="E79" s="69"/>
      <c r="F79" s="70">
        <v>50</v>
      </c>
      <c r="G79" s="67"/>
      <c r="H79" s="71"/>
      <c r="I79" s="72"/>
      <c r="J79" s="72"/>
      <c r="K79" s="34" t="s">
        <v>65</v>
      </c>
      <c r="L79" s="79">
        <v>79</v>
      </c>
      <c r="M79" s="79"/>
      <c r="N79" s="74"/>
      <c r="O79" s="90" t="s">
        <v>322</v>
      </c>
      <c r="P79" s="90" t="s">
        <v>324</v>
      </c>
      <c r="Q79" s="90" t="s">
        <v>952</v>
      </c>
      <c r="R79" s="90" t="s">
        <v>822</v>
      </c>
      <c r="S79" s="90" t="s">
        <v>1129</v>
      </c>
      <c r="T79" s="93" t="str">
        <f>HYPERLINK("http://www.youtube.com/channel/UCBvG32FaaoWFoQ30DvSyrHw")</f>
        <v>http://www.youtube.com/channel/UCBvG32FaaoWFoQ30DvSyrHw</v>
      </c>
      <c r="U79" s="90" t="s">
        <v>1197</v>
      </c>
      <c r="V79" s="90" t="s">
        <v>1227</v>
      </c>
      <c r="W79" s="93" t="str">
        <f>HYPERLINK("https://www.youtube.com/watch?v=")</f>
        <v>https://www.youtube.com/watch?v=</v>
      </c>
      <c r="X79" s="90" t="s">
        <v>326</v>
      </c>
      <c r="Y79" s="90">
        <v>2</v>
      </c>
      <c r="Z79" s="96">
        <v>43912.77266203704</v>
      </c>
      <c r="AA79" s="96">
        <v>43912.77266203704</v>
      </c>
      <c r="AB79" s="90"/>
      <c r="AC79" s="90"/>
      <c r="AD79" s="90"/>
      <c r="AE79" s="90">
        <v>1</v>
      </c>
      <c r="AF79" s="89" t="str">
        <f>REPLACE(INDEX(GroupVertices[Group],MATCH(Edges[[#This Row],[Vertex 1]],GroupVertices[Vertex],0)),1,1,"")</f>
        <v>6</v>
      </c>
      <c r="AG79" s="89" t="str">
        <f>REPLACE(INDEX(GroupVertices[Group],MATCH(Edges[[#This Row],[Vertex 2]],GroupVertices[Vertex],0)),1,1,"")</f>
        <v>6</v>
      </c>
      <c r="AH79" s="48">
        <v>1</v>
      </c>
      <c r="AI79" s="49">
        <v>7.142857142857143</v>
      </c>
      <c r="AJ79" s="48">
        <v>1</v>
      </c>
      <c r="AK79" s="49">
        <v>7.142857142857143</v>
      </c>
      <c r="AL79" s="48">
        <v>0</v>
      </c>
      <c r="AM79" s="49">
        <v>0</v>
      </c>
      <c r="AN79" s="48">
        <v>12</v>
      </c>
      <c r="AO79" s="49">
        <v>85.71428571428571</v>
      </c>
      <c r="AP79" s="48">
        <v>14</v>
      </c>
    </row>
    <row r="80" spans="1:42" ht="15">
      <c r="A80" s="66" t="s">
        <v>823</v>
      </c>
      <c r="B80" s="66" t="s">
        <v>825</v>
      </c>
      <c r="C80" s="67" t="s">
        <v>744</v>
      </c>
      <c r="D80" s="68">
        <v>10</v>
      </c>
      <c r="E80" s="69"/>
      <c r="F80" s="70">
        <v>20</v>
      </c>
      <c r="G80" s="67"/>
      <c r="H80" s="71"/>
      <c r="I80" s="72"/>
      <c r="J80" s="72"/>
      <c r="K80" s="34" t="s">
        <v>65</v>
      </c>
      <c r="L80" s="79">
        <v>80</v>
      </c>
      <c r="M80" s="79"/>
      <c r="N80" s="74"/>
      <c r="O80" s="90" t="s">
        <v>322</v>
      </c>
      <c r="P80" s="90" t="s">
        <v>324</v>
      </c>
      <c r="Q80" s="90" t="s">
        <v>953</v>
      </c>
      <c r="R80" s="90" t="s">
        <v>823</v>
      </c>
      <c r="S80" s="90" t="s">
        <v>1130</v>
      </c>
      <c r="T80" s="93" t="str">
        <f>HYPERLINK("http://www.youtube.com/channel/UC0Cy8LOSzB_Cfr3uwBSLGNA")</f>
        <v>http://www.youtube.com/channel/UC0Cy8LOSzB_Cfr3uwBSLGNA</v>
      </c>
      <c r="U80" s="90" t="s">
        <v>1197</v>
      </c>
      <c r="V80" s="90" t="s">
        <v>1227</v>
      </c>
      <c r="W80" s="93" t="str">
        <f>HYPERLINK("https://www.youtube.com/watch?v=")</f>
        <v>https://www.youtube.com/watch?v=</v>
      </c>
      <c r="X80" s="90" t="s">
        <v>326</v>
      </c>
      <c r="Y80" s="90">
        <v>2</v>
      </c>
      <c r="Z80" s="96">
        <v>43912.6147337963</v>
      </c>
      <c r="AA80" s="96">
        <v>43912.6147337963</v>
      </c>
      <c r="AB80" s="90"/>
      <c r="AC80" s="90"/>
      <c r="AD80" s="90"/>
      <c r="AE80" s="90">
        <v>3</v>
      </c>
      <c r="AF80" s="89" t="str">
        <f>REPLACE(INDEX(GroupVertices[Group],MATCH(Edges[[#This Row],[Vertex 1]],GroupVertices[Vertex],0)),1,1,"")</f>
        <v>6</v>
      </c>
      <c r="AG80" s="89" t="str">
        <f>REPLACE(INDEX(GroupVertices[Group],MATCH(Edges[[#This Row],[Vertex 2]],GroupVertices[Vertex],0)),1,1,"")</f>
        <v>6</v>
      </c>
      <c r="AH80" s="48">
        <v>0</v>
      </c>
      <c r="AI80" s="49">
        <v>0</v>
      </c>
      <c r="AJ80" s="48">
        <v>1</v>
      </c>
      <c r="AK80" s="49">
        <v>4</v>
      </c>
      <c r="AL80" s="48">
        <v>0</v>
      </c>
      <c r="AM80" s="49">
        <v>0</v>
      </c>
      <c r="AN80" s="48">
        <v>24</v>
      </c>
      <c r="AO80" s="49">
        <v>96</v>
      </c>
      <c r="AP80" s="48">
        <v>25</v>
      </c>
    </row>
    <row r="81" spans="1:42" ht="15">
      <c r="A81" s="66" t="s">
        <v>823</v>
      </c>
      <c r="B81" s="66" t="s">
        <v>825</v>
      </c>
      <c r="C81" s="67" t="s">
        <v>744</v>
      </c>
      <c r="D81" s="68">
        <v>10</v>
      </c>
      <c r="E81" s="69"/>
      <c r="F81" s="70">
        <v>20</v>
      </c>
      <c r="G81" s="67"/>
      <c r="H81" s="71"/>
      <c r="I81" s="72"/>
      <c r="J81" s="72"/>
      <c r="K81" s="34" t="s">
        <v>65</v>
      </c>
      <c r="L81" s="79">
        <v>81</v>
      </c>
      <c r="M81" s="79"/>
      <c r="N81" s="74"/>
      <c r="O81" s="90" t="s">
        <v>322</v>
      </c>
      <c r="P81" s="90" t="s">
        <v>324</v>
      </c>
      <c r="Q81" s="90" t="s">
        <v>954</v>
      </c>
      <c r="R81" s="90" t="s">
        <v>823</v>
      </c>
      <c r="S81" s="90" t="s">
        <v>1130</v>
      </c>
      <c r="T81" s="93" t="str">
        <f>HYPERLINK("http://www.youtube.com/channel/UC0Cy8LOSzB_Cfr3uwBSLGNA")</f>
        <v>http://www.youtube.com/channel/UC0Cy8LOSzB_Cfr3uwBSLGNA</v>
      </c>
      <c r="U81" s="90" t="s">
        <v>1197</v>
      </c>
      <c r="V81" s="90" t="s">
        <v>1227</v>
      </c>
      <c r="W81" s="93" t="str">
        <f>HYPERLINK("https://www.youtube.com/watch?v=")</f>
        <v>https://www.youtube.com/watch?v=</v>
      </c>
      <c r="X81" s="90" t="s">
        <v>326</v>
      </c>
      <c r="Y81" s="90">
        <v>0</v>
      </c>
      <c r="Z81" s="96">
        <v>43912.728113425925</v>
      </c>
      <c r="AA81" s="96">
        <v>43912.72912037037</v>
      </c>
      <c r="AB81" s="90"/>
      <c r="AC81" s="90"/>
      <c r="AD81" s="90"/>
      <c r="AE81" s="90">
        <v>3</v>
      </c>
      <c r="AF81" s="89" t="str">
        <f>REPLACE(INDEX(GroupVertices[Group],MATCH(Edges[[#This Row],[Vertex 1]],GroupVertices[Vertex],0)),1,1,"")</f>
        <v>6</v>
      </c>
      <c r="AG81" s="89" t="str">
        <f>REPLACE(INDEX(GroupVertices[Group],MATCH(Edges[[#This Row],[Vertex 2]],GroupVertices[Vertex],0)),1,1,"")</f>
        <v>6</v>
      </c>
      <c r="AH81" s="48">
        <v>1</v>
      </c>
      <c r="AI81" s="49">
        <v>2.380952380952381</v>
      </c>
      <c r="AJ81" s="48">
        <v>1</v>
      </c>
      <c r="AK81" s="49">
        <v>2.380952380952381</v>
      </c>
      <c r="AL81" s="48">
        <v>0</v>
      </c>
      <c r="AM81" s="49">
        <v>0</v>
      </c>
      <c r="AN81" s="48">
        <v>40</v>
      </c>
      <c r="AO81" s="49">
        <v>95.23809523809524</v>
      </c>
      <c r="AP81" s="48">
        <v>42</v>
      </c>
    </row>
    <row r="82" spans="1:42" ht="15">
      <c r="A82" s="66" t="s">
        <v>823</v>
      </c>
      <c r="B82" s="66" t="s">
        <v>825</v>
      </c>
      <c r="C82" s="67" t="s">
        <v>744</v>
      </c>
      <c r="D82" s="68">
        <v>10</v>
      </c>
      <c r="E82" s="69"/>
      <c r="F82" s="70">
        <v>20</v>
      </c>
      <c r="G82" s="67"/>
      <c r="H82" s="71"/>
      <c r="I82" s="72"/>
      <c r="J82" s="72"/>
      <c r="K82" s="34" t="s">
        <v>65</v>
      </c>
      <c r="L82" s="79">
        <v>82</v>
      </c>
      <c r="M82" s="79"/>
      <c r="N82" s="74"/>
      <c r="O82" s="90" t="s">
        <v>322</v>
      </c>
      <c r="P82" s="90" t="s">
        <v>324</v>
      </c>
      <c r="Q82" s="90" t="s">
        <v>955</v>
      </c>
      <c r="R82" s="90" t="s">
        <v>823</v>
      </c>
      <c r="S82" s="90" t="s">
        <v>1130</v>
      </c>
      <c r="T82" s="93" t="str">
        <f>HYPERLINK("http://www.youtube.com/channel/UC0Cy8LOSzB_Cfr3uwBSLGNA")</f>
        <v>http://www.youtube.com/channel/UC0Cy8LOSzB_Cfr3uwBSLGNA</v>
      </c>
      <c r="U82" s="90" t="s">
        <v>1197</v>
      </c>
      <c r="V82" s="90" t="s">
        <v>1227</v>
      </c>
      <c r="W82" s="93" t="str">
        <f>HYPERLINK("https://www.youtube.com/watch?v=")</f>
        <v>https://www.youtube.com/watch?v=</v>
      </c>
      <c r="X82" s="90" t="s">
        <v>326</v>
      </c>
      <c r="Y82" s="90">
        <v>0</v>
      </c>
      <c r="Z82" s="96">
        <v>43912.83447916667</v>
      </c>
      <c r="AA82" s="96">
        <v>43912.83447916667</v>
      </c>
      <c r="AB82" s="90"/>
      <c r="AC82" s="90"/>
      <c r="AD82" s="90"/>
      <c r="AE82" s="90">
        <v>3</v>
      </c>
      <c r="AF82" s="89" t="str">
        <f>REPLACE(INDEX(GroupVertices[Group],MATCH(Edges[[#This Row],[Vertex 1]],GroupVertices[Vertex],0)),1,1,"")</f>
        <v>6</v>
      </c>
      <c r="AG82" s="89" t="str">
        <f>REPLACE(INDEX(GroupVertices[Group],MATCH(Edges[[#This Row],[Vertex 2]],GroupVertices[Vertex],0)),1,1,"")</f>
        <v>6</v>
      </c>
      <c r="AH82" s="48">
        <v>1</v>
      </c>
      <c r="AI82" s="49">
        <v>2.7027027027027026</v>
      </c>
      <c r="AJ82" s="48">
        <v>1</v>
      </c>
      <c r="AK82" s="49">
        <v>2.7027027027027026</v>
      </c>
      <c r="AL82" s="48">
        <v>0</v>
      </c>
      <c r="AM82" s="49">
        <v>0</v>
      </c>
      <c r="AN82" s="48">
        <v>35</v>
      </c>
      <c r="AO82" s="49">
        <v>94.5945945945946</v>
      </c>
      <c r="AP82" s="48">
        <v>37</v>
      </c>
    </row>
    <row r="83" spans="1:42" ht="15">
      <c r="A83" s="66" t="s">
        <v>818</v>
      </c>
      <c r="B83" s="66" t="s">
        <v>825</v>
      </c>
      <c r="C83" s="67" t="s">
        <v>743</v>
      </c>
      <c r="D83" s="68">
        <v>3</v>
      </c>
      <c r="E83" s="69"/>
      <c r="F83" s="70">
        <v>50</v>
      </c>
      <c r="G83" s="67"/>
      <c r="H83" s="71"/>
      <c r="I83" s="72"/>
      <c r="J83" s="72"/>
      <c r="K83" s="34" t="s">
        <v>65</v>
      </c>
      <c r="L83" s="79">
        <v>83</v>
      </c>
      <c r="M83" s="79"/>
      <c r="N83" s="74"/>
      <c r="O83" s="90" t="s">
        <v>322</v>
      </c>
      <c r="P83" s="90" t="s">
        <v>324</v>
      </c>
      <c r="Q83" s="90" t="s">
        <v>956</v>
      </c>
      <c r="R83" s="90" t="s">
        <v>818</v>
      </c>
      <c r="S83" s="90" t="s">
        <v>1125</v>
      </c>
      <c r="T83" s="93" t="str">
        <f>HYPERLINK("http://www.youtube.com/channel/UCSNwk1mZCxz0WkWk4C1AOog")</f>
        <v>http://www.youtube.com/channel/UCSNwk1mZCxz0WkWk4C1AOog</v>
      </c>
      <c r="U83" s="90" t="s">
        <v>1197</v>
      </c>
      <c r="V83" s="90" t="s">
        <v>1227</v>
      </c>
      <c r="W83" s="93" t="str">
        <f>HYPERLINK("https://www.youtube.com/watch?v=")</f>
        <v>https://www.youtube.com/watch?v=</v>
      </c>
      <c r="X83" s="90" t="s">
        <v>326</v>
      </c>
      <c r="Y83" s="90">
        <v>9</v>
      </c>
      <c r="Z83" s="96">
        <v>43912.55525462963</v>
      </c>
      <c r="AA83" s="96">
        <v>43912.55525462963</v>
      </c>
      <c r="AB83" s="90"/>
      <c r="AC83" s="90"/>
      <c r="AD83" s="90"/>
      <c r="AE83" s="90">
        <v>1</v>
      </c>
      <c r="AF83" s="89" t="str">
        <f>REPLACE(INDEX(GroupVertices[Group],MATCH(Edges[[#This Row],[Vertex 1]],GroupVertices[Vertex],0)),1,1,"")</f>
        <v>4</v>
      </c>
      <c r="AG83" s="89" t="str">
        <f>REPLACE(INDEX(GroupVertices[Group],MATCH(Edges[[#This Row],[Vertex 2]],GroupVertices[Vertex],0)),1,1,"")</f>
        <v>6</v>
      </c>
      <c r="AH83" s="48">
        <v>1</v>
      </c>
      <c r="AI83" s="49">
        <v>10</v>
      </c>
      <c r="AJ83" s="48">
        <v>0</v>
      </c>
      <c r="AK83" s="49">
        <v>0</v>
      </c>
      <c r="AL83" s="48">
        <v>0</v>
      </c>
      <c r="AM83" s="49">
        <v>0</v>
      </c>
      <c r="AN83" s="48">
        <v>9</v>
      </c>
      <c r="AO83" s="49">
        <v>90</v>
      </c>
      <c r="AP83" s="48">
        <v>10</v>
      </c>
    </row>
    <row r="84" spans="1:42" ht="15">
      <c r="A84" s="66" t="s">
        <v>824</v>
      </c>
      <c r="B84" s="66" t="s">
        <v>825</v>
      </c>
      <c r="C84" s="67" t="s">
        <v>744</v>
      </c>
      <c r="D84" s="68">
        <v>10</v>
      </c>
      <c r="E84" s="69"/>
      <c r="F84" s="70">
        <v>20</v>
      </c>
      <c r="G84" s="67"/>
      <c r="H84" s="71"/>
      <c r="I84" s="72"/>
      <c r="J84" s="72"/>
      <c r="K84" s="34" t="s">
        <v>65</v>
      </c>
      <c r="L84" s="79">
        <v>84</v>
      </c>
      <c r="M84" s="79"/>
      <c r="N84" s="74"/>
      <c r="O84" s="90" t="s">
        <v>322</v>
      </c>
      <c r="P84" s="90" t="s">
        <v>324</v>
      </c>
      <c r="Q84" s="90" t="s">
        <v>957</v>
      </c>
      <c r="R84" s="90" t="s">
        <v>824</v>
      </c>
      <c r="S84" s="90" t="s">
        <v>1131</v>
      </c>
      <c r="T84" s="93" t="str">
        <f>HYPERLINK("http://www.youtube.com/channel/UCuFOndAULZ3uyRBasI9ahpg")</f>
        <v>http://www.youtube.com/channel/UCuFOndAULZ3uyRBasI9ahpg</v>
      </c>
      <c r="U84" s="90" t="s">
        <v>1197</v>
      </c>
      <c r="V84" s="90" t="s">
        <v>1227</v>
      </c>
      <c r="W84" s="93" t="str">
        <f>HYPERLINK("https://www.youtube.com/watch?v=")</f>
        <v>https://www.youtube.com/watch?v=</v>
      </c>
      <c r="X84" s="90" t="s">
        <v>326</v>
      </c>
      <c r="Y84" s="90">
        <v>4</v>
      </c>
      <c r="Z84" s="96">
        <v>43912.587175925924</v>
      </c>
      <c r="AA84" s="96">
        <v>43912.587175925924</v>
      </c>
      <c r="AB84" s="90"/>
      <c r="AC84" s="90"/>
      <c r="AD84" s="90"/>
      <c r="AE84" s="90">
        <v>5</v>
      </c>
      <c r="AF84" s="89" t="str">
        <f>REPLACE(INDEX(GroupVertices[Group],MATCH(Edges[[#This Row],[Vertex 1]],GroupVertices[Vertex],0)),1,1,"")</f>
        <v>6</v>
      </c>
      <c r="AG84" s="89" t="str">
        <f>REPLACE(INDEX(GroupVertices[Group],MATCH(Edges[[#This Row],[Vertex 2]],GroupVertices[Vertex],0)),1,1,"")</f>
        <v>6</v>
      </c>
      <c r="AH84" s="48">
        <v>0</v>
      </c>
      <c r="AI84" s="49">
        <v>0</v>
      </c>
      <c r="AJ84" s="48">
        <v>0</v>
      </c>
      <c r="AK84" s="49">
        <v>0</v>
      </c>
      <c r="AL84" s="48">
        <v>0</v>
      </c>
      <c r="AM84" s="49">
        <v>0</v>
      </c>
      <c r="AN84" s="48">
        <v>3</v>
      </c>
      <c r="AO84" s="49">
        <v>100</v>
      </c>
      <c r="AP84" s="48">
        <v>3</v>
      </c>
    </row>
    <row r="85" spans="1:42" ht="15">
      <c r="A85" s="66" t="s">
        <v>825</v>
      </c>
      <c r="B85" s="66" t="s">
        <v>825</v>
      </c>
      <c r="C85" s="67" t="s">
        <v>744</v>
      </c>
      <c r="D85" s="68">
        <v>10</v>
      </c>
      <c r="E85" s="69"/>
      <c r="F85" s="70">
        <v>20</v>
      </c>
      <c r="G85" s="67"/>
      <c r="H85" s="71"/>
      <c r="I85" s="72"/>
      <c r="J85" s="72"/>
      <c r="K85" s="34" t="s">
        <v>65</v>
      </c>
      <c r="L85" s="79">
        <v>85</v>
      </c>
      <c r="M85" s="79"/>
      <c r="N85" s="74"/>
      <c r="O85" s="90" t="s">
        <v>322</v>
      </c>
      <c r="P85" s="90" t="s">
        <v>324</v>
      </c>
      <c r="Q85" s="90" t="s">
        <v>958</v>
      </c>
      <c r="R85" s="90" t="s">
        <v>825</v>
      </c>
      <c r="S85" s="90" t="s">
        <v>1132</v>
      </c>
      <c r="T85" s="93" t="str">
        <f>HYPERLINK("http://www.youtube.com/channel/UCoRLkOzhw8HekouG2PWC2zg")</f>
        <v>http://www.youtube.com/channel/UCoRLkOzhw8HekouG2PWC2zg</v>
      </c>
      <c r="U85" s="90" t="s">
        <v>1197</v>
      </c>
      <c r="V85" s="90" t="s">
        <v>1227</v>
      </c>
      <c r="W85" s="93" t="str">
        <f>HYPERLINK("https://www.youtube.com/watch?v=")</f>
        <v>https://www.youtube.com/watch?v=</v>
      </c>
      <c r="X85" s="90" t="s">
        <v>326</v>
      </c>
      <c r="Y85" s="90">
        <v>2</v>
      </c>
      <c r="Z85" s="96">
        <v>43912.63454861111</v>
      </c>
      <c r="AA85" s="96">
        <v>43912.63454861111</v>
      </c>
      <c r="AB85" s="90"/>
      <c r="AC85" s="90"/>
      <c r="AD85" s="90"/>
      <c r="AE85" s="90">
        <v>2</v>
      </c>
      <c r="AF85" s="89" t="str">
        <f>REPLACE(INDEX(GroupVertices[Group],MATCH(Edges[[#This Row],[Vertex 1]],GroupVertices[Vertex],0)),1,1,"")</f>
        <v>6</v>
      </c>
      <c r="AG85" s="89" t="str">
        <f>REPLACE(INDEX(GroupVertices[Group],MATCH(Edges[[#This Row],[Vertex 2]],GroupVertices[Vertex],0)),1,1,"")</f>
        <v>6</v>
      </c>
      <c r="AH85" s="48">
        <v>0</v>
      </c>
      <c r="AI85" s="49">
        <v>0</v>
      </c>
      <c r="AJ85" s="48">
        <v>1</v>
      </c>
      <c r="AK85" s="49">
        <v>2.857142857142857</v>
      </c>
      <c r="AL85" s="48">
        <v>0</v>
      </c>
      <c r="AM85" s="49">
        <v>0</v>
      </c>
      <c r="AN85" s="48">
        <v>34</v>
      </c>
      <c r="AO85" s="49">
        <v>97.14285714285714</v>
      </c>
      <c r="AP85" s="48">
        <v>35</v>
      </c>
    </row>
    <row r="86" spans="1:42" ht="15">
      <c r="A86" s="66" t="s">
        <v>824</v>
      </c>
      <c r="B86" s="66" t="s">
        <v>825</v>
      </c>
      <c r="C86" s="67" t="s">
        <v>744</v>
      </c>
      <c r="D86" s="68">
        <v>10</v>
      </c>
      <c r="E86" s="69"/>
      <c r="F86" s="70">
        <v>20</v>
      </c>
      <c r="G86" s="67"/>
      <c r="H86" s="71"/>
      <c r="I86" s="72"/>
      <c r="J86" s="72"/>
      <c r="K86" s="34" t="s">
        <v>65</v>
      </c>
      <c r="L86" s="79">
        <v>86</v>
      </c>
      <c r="M86" s="79"/>
      <c r="N86" s="74"/>
      <c r="O86" s="90" t="s">
        <v>322</v>
      </c>
      <c r="P86" s="90" t="s">
        <v>324</v>
      </c>
      <c r="Q86" s="90" t="s">
        <v>959</v>
      </c>
      <c r="R86" s="90" t="s">
        <v>824</v>
      </c>
      <c r="S86" s="90" t="s">
        <v>1131</v>
      </c>
      <c r="T86" s="93" t="str">
        <f>HYPERLINK("http://www.youtube.com/channel/UCuFOndAULZ3uyRBasI9ahpg")</f>
        <v>http://www.youtube.com/channel/UCuFOndAULZ3uyRBasI9ahpg</v>
      </c>
      <c r="U86" s="90" t="s">
        <v>1197</v>
      </c>
      <c r="V86" s="90" t="s">
        <v>1227</v>
      </c>
      <c r="W86" s="93" t="str">
        <f>HYPERLINK("https://www.youtube.com/watch?v=")</f>
        <v>https://www.youtube.com/watch?v=</v>
      </c>
      <c r="X86" s="90" t="s">
        <v>326</v>
      </c>
      <c r="Y86" s="90">
        <v>2</v>
      </c>
      <c r="Z86" s="96">
        <v>43912.71979166667</v>
      </c>
      <c r="AA86" s="96">
        <v>43912.71979166667</v>
      </c>
      <c r="AB86" s="90"/>
      <c r="AC86" s="90"/>
      <c r="AD86" s="90"/>
      <c r="AE86" s="90">
        <v>5</v>
      </c>
      <c r="AF86" s="89" t="str">
        <f>REPLACE(INDEX(GroupVertices[Group],MATCH(Edges[[#This Row],[Vertex 1]],GroupVertices[Vertex],0)),1,1,"")</f>
        <v>6</v>
      </c>
      <c r="AG86" s="89" t="str">
        <f>REPLACE(INDEX(GroupVertices[Group],MATCH(Edges[[#This Row],[Vertex 2]],GroupVertices[Vertex],0)),1,1,"")</f>
        <v>6</v>
      </c>
      <c r="AH86" s="48">
        <v>2</v>
      </c>
      <c r="AI86" s="49">
        <v>14.285714285714286</v>
      </c>
      <c r="AJ86" s="48">
        <v>1</v>
      </c>
      <c r="AK86" s="49">
        <v>7.142857142857143</v>
      </c>
      <c r="AL86" s="48">
        <v>0</v>
      </c>
      <c r="AM86" s="49">
        <v>0</v>
      </c>
      <c r="AN86" s="48">
        <v>11</v>
      </c>
      <c r="AO86" s="49">
        <v>78.57142857142857</v>
      </c>
      <c r="AP86" s="48">
        <v>14</v>
      </c>
    </row>
    <row r="87" spans="1:42" ht="15">
      <c r="A87" s="66" t="s">
        <v>824</v>
      </c>
      <c r="B87" s="66" t="s">
        <v>825</v>
      </c>
      <c r="C87" s="67" t="s">
        <v>744</v>
      </c>
      <c r="D87" s="68">
        <v>10</v>
      </c>
      <c r="E87" s="69"/>
      <c r="F87" s="70">
        <v>20</v>
      </c>
      <c r="G87" s="67"/>
      <c r="H87" s="71"/>
      <c r="I87" s="72"/>
      <c r="J87" s="72"/>
      <c r="K87" s="34" t="s">
        <v>65</v>
      </c>
      <c r="L87" s="79">
        <v>87</v>
      </c>
      <c r="M87" s="79"/>
      <c r="N87" s="74"/>
      <c r="O87" s="90" t="s">
        <v>322</v>
      </c>
      <c r="P87" s="90" t="s">
        <v>324</v>
      </c>
      <c r="Q87" s="90" t="s">
        <v>960</v>
      </c>
      <c r="R87" s="90" t="s">
        <v>824</v>
      </c>
      <c r="S87" s="90" t="s">
        <v>1131</v>
      </c>
      <c r="T87" s="93" t="str">
        <f>HYPERLINK("http://www.youtube.com/channel/UCuFOndAULZ3uyRBasI9ahpg")</f>
        <v>http://www.youtube.com/channel/UCuFOndAULZ3uyRBasI9ahpg</v>
      </c>
      <c r="U87" s="90" t="s">
        <v>1197</v>
      </c>
      <c r="V87" s="90" t="s">
        <v>1227</v>
      </c>
      <c r="W87" s="93" t="str">
        <f>HYPERLINK("https://www.youtube.com/watch?v=")</f>
        <v>https://www.youtube.com/watch?v=</v>
      </c>
      <c r="X87" s="90" t="s">
        <v>326</v>
      </c>
      <c r="Y87" s="90">
        <v>0</v>
      </c>
      <c r="Z87" s="96">
        <v>43912.72063657407</v>
      </c>
      <c r="AA87" s="96">
        <v>43912.72063657407</v>
      </c>
      <c r="AB87" s="90"/>
      <c r="AC87" s="90"/>
      <c r="AD87" s="90"/>
      <c r="AE87" s="90">
        <v>5</v>
      </c>
      <c r="AF87" s="89" t="str">
        <f>REPLACE(INDEX(GroupVertices[Group],MATCH(Edges[[#This Row],[Vertex 1]],GroupVertices[Vertex],0)),1,1,"")</f>
        <v>6</v>
      </c>
      <c r="AG87" s="89" t="str">
        <f>REPLACE(INDEX(GroupVertices[Group],MATCH(Edges[[#This Row],[Vertex 2]],GroupVertices[Vertex],0)),1,1,"")</f>
        <v>6</v>
      </c>
      <c r="AH87" s="48">
        <v>0</v>
      </c>
      <c r="AI87" s="49">
        <v>0</v>
      </c>
      <c r="AJ87" s="48">
        <v>1</v>
      </c>
      <c r="AK87" s="49">
        <v>7.142857142857143</v>
      </c>
      <c r="AL87" s="48">
        <v>0</v>
      </c>
      <c r="AM87" s="49">
        <v>0</v>
      </c>
      <c r="AN87" s="48">
        <v>13</v>
      </c>
      <c r="AO87" s="49">
        <v>92.85714285714286</v>
      </c>
      <c r="AP87" s="48">
        <v>14</v>
      </c>
    </row>
    <row r="88" spans="1:42" ht="15">
      <c r="A88" s="66" t="s">
        <v>825</v>
      </c>
      <c r="B88" s="66" t="s">
        <v>825</v>
      </c>
      <c r="C88" s="67" t="s">
        <v>744</v>
      </c>
      <c r="D88" s="68">
        <v>10</v>
      </c>
      <c r="E88" s="69"/>
      <c r="F88" s="70">
        <v>20</v>
      </c>
      <c r="G88" s="67"/>
      <c r="H88" s="71"/>
      <c r="I88" s="72"/>
      <c r="J88" s="72"/>
      <c r="K88" s="34" t="s">
        <v>65</v>
      </c>
      <c r="L88" s="79">
        <v>88</v>
      </c>
      <c r="M88" s="79"/>
      <c r="N88" s="74"/>
      <c r="O88" s="90" t="s">
        <v>322</v>
      </c>
      <c r="P88" s="90" t="s">
        <v>324</v>
      </c>
      <c r="Q88" s="90" t="s">
        <v>961</v>
      </c>
      <c r="R88" s="90" t="s">
        <v>825</v>
      </c>
      <c r="S88" s="90" t="s">
        <v>1132</v>
      </c>
      <c r="T88" s="93" t="str">
        <f>HYPERLINK("http://www.youtube.com/channel/UCoRLkOzhw8HekouG2PWC2zg")</f>
        <v>http://www.youtube.com/channel/UCoRLkOzhw8HekouG2PWC2zg</v>
      </c>
      <c r="U88" s="90" t="s">
        <v>1197</v>
      </c>
      <c r="V88" s="90" t="s">
        <v>1227</v>
      </c>
      <c r="W88" s="93" t="str">
        <f>HYPERLINK("https://www.youtube.com/watch?v=")</f>
        <v>https://www.youtube.com/watch?v=</v>
      </c>
      <c r="X88" s="90" t="s">
        <v>326</v>
      </c>
      <c r="Y88" s="90">
        <v>0</v>
      </c>
      <c r="Z88" s="96">
        <v>43912.72857638889</v>
      </c>
      <c r="AA88" s="96">
        <v>43912.72857638889</v>
      </c>
      <c r="AB88" s="90"/>
      <c r="AC88" s="90"/>
      <c r="AD88" s="90"/>
      <c r="AE88" s="90">
        <v>2</v>
      </c>
      <c r="AF88" s="89" t="str">
        <f>REPLACE(INDEX(GroupVertices[Group],MATCH(Edges[[#This Row],[Vertex 1]],GroupVertices[Vertex],0)),1,1,"")</f>
        <v>6</v>
      </c>
      <c r="AG88" s="89" t="str">
        <f>REPLACE(INDEX(GroupVertices[Group],MATCH(Edges[[#This Row],[Vertex 2]],GroupVertices[Vertex],0)),1,1,"")</f>
        <v>6</v>
      </c>
      <c r="AH88" s="48">
        <v>0</v>
      </c>
      <c r="AI88" s="49">
        <v>0</v>
      </c>
      <c r="AJ88" s="48">
        <v>0</v>
      </c>
      <c r="AK88" s="49">
        <v>0</v>
      </c>
      <c r="AL88" s="48">
        <v>0</v>
      </c>
      <c r="AM88" s="49">
        <v>0</v>
      </c>
      <c r="AN88" s="48">
        <v>10</v>
      </c>
      <c r="AO88" s="49">
        <v>100</v>
      </c>
      <c r="AP88" s="48">
        <v>10</v>
      </c>
    </row>
    <row r="89" spans="1:42" ht="15">
      <c r="A89" s="66" t="s">
        <v>824</v>
      </c>
      <c r="B89" s="66" t="s">
        <v>825</v>
      </c>
      <c r="C89" s="67" t="s">
        <v>744</v>
      </c>
      <c r="D89" s="68">
        <v>10</v>
      </c>
      <c r="E89" s="69"/>
      <c r="F89" s="70">
        <v>20</v>
      </c>
      <c r="G89" s="67"/>
      <c r="H89" s="71"/>
      <c r="I89" s="72"/>
      <c r="J89" s="72"/>
      <c r="K89" s="34" t="s">
        <v>65</v>
      </c>
      <c r="L89" s="79">
        <v>89</v>
      </c>
      <c r="M89" s="79"/>
      <c r="N89" s="74"/>
      <c r="O89" s="90" t="s">
        <v>322</v>
      </c>
      <c r="P89" s="90" t="s">
        <v>324</v>
      </c>
      <c r="Q89" s="90" t="s">
        <v>962</v>
      </c>
      <c r="R89" s="90" t="s">
        <v>824</v>
      </c>
      <c r="S89" s="90" t="s">
        <v>1131</v>
      </c>
      <c r="T89" s="93" t="str">
        <f>HYPERLINK("http://www.youtube.com/channel/UCuFOndAULZ3uyRBasI9ahpg")</f>
        <v>http://www.youtube.com/channel/UCuFOndAULZ3uyRBasI9ahpg</v>
      </c>
      <c r="U89" s="90" t="s">
        <v>1197</v>
      </c>
      <c r="V89" s="90" t="s">
        <v>1227</v>
      </c>
      <c r="W89" s="93" t="str">
        <f>HYPERLINK("https://www.youtube.com/watch?v=")</f>
        <v>https://www.youtube.com/watch?v=</v>
      </c>
      <c r="X89" s="90" t="s">
        <v>326</v>
      </c>
      <c r="Y89" s="90">
        <v>0</v>
      </c>
      <c r="Z89" s="96">
        <v>43912.82957175926</v>
      </c>
      <c r="AA89" s="96">
        <v>43912.82957175926</v>
      </c>
      <c r="AB89" s="90"/>
      <c r="AC89" s="90"/>
      <c r="AD89" s="90"/>
      <c r="AE89" s="90">
        <v>5</v>
      </c>
      <c r="AF89" s="89" t="str">
        <f>REPLACE(INDEX(GroupVertices[Group],MATCH(Edges[[#This Row],[Vertex 1]],GroupVertices[Vertex],0)),1,1,"")</f>
        <v>6</v>
      </c>
      <c r="AG89" s="89" t="str">
        <f>REPLACE(INDEX(GroupVertices[Group],MATCH(Edges[[#This Row],[Vertex 2]],GroupVertices[Vertex],0)),1,1,"")</f>
        <v>6</v>
      </c>
      <c r="AH89" s="48">
        <v>3</v>
      </c>
      <c r="AI89" s="49">
        <v>5.555555555555555</v>
      </c>
      <c r="AJ89" s="48">
        <v>2</v>
      </c>
      <c r="AK89" s="49">
        <v>3.7037037037037037</v>
      </c>
      <c r="AL89" s="48">
        <v>0</v>
      </c>
      <c r="AM89" s="49">
        <v>0</v>
      </c>
      <c r="AN89" s="48">
        <v>49</v>
      </c>
      <c r="AO89" s="49">
        <v>90.74074074074075</v>
      </c>
      <c r="AP89" s="48">
        <v>54</v>
      </c>
    </row>
    <row r="90" spans="1:42" ht="15">
      <c r="A90" s="66" t="s">
        <v>824</v>
      </c>
      <c r="B90" s="66" t="s">
        <v>825</v>
      </c>
      <c r="C90" s="67" t="s">
        <v>744</v>
      </c>
      <c r="D90" s="68">
        <v>10</v>
      </c>
      <c r="E90" s="69"/>
      <c r="F90" s="70">
        <v>20</v>
      </c>
      <c r="G90" s="67"/>
      <c r="H90" s="71"/>
      <c r="I90" s="72"/>
      <c r="J90" s="72"/>
      <c r="K90" s="34" t="s">
        <v>65</v>
      </c>
      <c r="L90" s="79">
        <v>90</v>
      </c>
      <c r="M90" s="79"/>
      <c r="N90" s="74"/>
      <c r="O90" s="90" t="s">
        <v>322</v>
      </c>
      <c r="P90" s="90" t="s">
        <v>324</v>
      </c>
      <c r="Q90" s="90" t="s">
        <v>963</v>
      </c>
      <c r="R90" s="90" t="s">
        <v>824</v>
      </c>
      <c r="S90" s="90" t="s">
        <v>1131</v>
      </c>
      <c r="T90" s="93" t="str">
        <f>HYPERLINK("http://www.youtube.com/channel/UCuFOndAULZ3uyRBasI9ahpg")</f>
        <v>http://www.youtube.com/channel/UCuFOndAULZ3uyRBasI9ahpg</v>
      </c>
      <c r="U90" s="90" t="s">
        <v>1197</v>
      </c>
      <c r="V90" s="90" t="s">
        <v>1227</v>
      </c>
      <c r="W90" s="93" t="str">
        <f>HYPERLINK("https://www.youtube.com/watch?v=")</f>
        <v>https://www.youtube.com/watch?v=</v>
      </c>
      <c r="X90" s="90" t="s">
        <v>326</v>
      </c>
      <c r="Y90" s="90">
        <v>0</v>
      </c>
      <c r="Z90" s="96">
        <v>43912.830613425926</v>
      </c>
      <c r="AA90" s="96">
        <v>43912.830613425926</v>
      </c>
      <c r="AB90" s="90"/>
      <c r="AC90" s="90"/>
      <c r="AD90" s="90"/>
      <c r="AE90" s="90">
        <v>5</v>
      </c>
      <c r="AF90" s="89" t="str">
        <f>REPLACE(INDEX(GroupVertices[Group],MATCH(Edges[[#This Row],[Vertex 1]],GroupVertices[Vertex],0)),1,1,"")</f>
        <v>6</v>
      </c>
      <c r="AG90" s="89" t="str">
        <f>REPLACE(INDEX(GroupVertices[Group],MATCH(Edges[[#This Row],[Vertex 2]],GroupVertices[Vertex],0)),1,1,"")</f>
        <v>6</v>
      </c>
      <c r="AH90" s="48">
        <v>1</v>
      </c>
      <c r="AI90" s="49">
        <v>3.125</v>
      </c>
      <c r="AJ90" s="48">
        <v>0</v>
      </c>
      <c r="AK90" s="49">
        <v>0</v>
      </c>
      <c r="AL90" s="48">
        <v>0</v>
      </c>
      <c r="AM90" s="49">
        <v>0</v>
      </c>
      <c r="AN90" s="48">
        <v>31</v>
      </c>
      <c r="AO90" s="49">
        <v>96.875</v>
      </c>
      <c r="AP90" s="48">
        <v>32</v>
      </c>
    </row>
    <row r="91" spans="1:42" ht="15">
      <c r="A91" s="66" t="s">
        <v>825</v>
      </c>
      <c r="B91" s="66" t="s">
        <v>876</v>
      </c>
      <c r="C91" s="67" t="s">
        <v>743</v>
      </c>
      <c r="D91" s="68">
        <v>3</v>
      </c>
      <c r="E91" s="69"/>
      <c r="F91" s="70">
        <v>50</v>
      </c>
      <c r="G91" s="67"/>
      <c r="H91" s="71"/>
      <c r="I91" s="72"/>
      <c r="J91" s="72"/>
      <c r="K91" s="34" t="s">
        <v>65</v>
      </c>
      <c r="L91" s="79">
        <v>91</v>
      </c>
      <c r="M91" s="79"/>
      <c r="N91" s="74"/>
      <c r="O91" s="90" t="s">
        <v>323</v>
      </c>
      <c r="P91" s="90" t="s">
        <v>308</v>
      </c>
      <c r="Q91" s="90" t="s">
        <v>964</v>
      </c>
      <c r="R91" s="90" t="s">
        <v>825</v>
      </c>
      <c r="S91" s="90" t="s">
        <v>1132</v>
      </c>
      <c r="T91" s="93" t="str">
        <f>HYPERLINK("http://www.youtube.com/channel/UCoRLkOzhw8HekouG2PWC2zg")</f>
        <v>http://www.youtube.com/channel/UCoRLkOzhw8HekouG2PWC2zg</v>
      </c>
      <c r="U91" s="90"/>
      <c r="V91" s="90" t="s">
        <v>1227</v>
      </c>
      <c r="W91" s="93" t="str">
        <f>HYPERLINK("https://www.youtube.com/watch?v=L3Ob_r4yk60")</f>
        <v>https://www.youtube.com/watch?v=L3Ob_r4yk60</v>
      </c>
      <c r="X91" s="90" t="s">
        <v>326</v>
      </c>
      <c r="Y91" s="90">
        <v>146</v>
      </c>
      <c r="Z91" s="96">
        <v>43912.46892361111</v>
      </c>
      <c r="AA91" s="96">
        <v>43912.46892361111</v>
      </c>
      <c r="AB91" s="90"/>
      <c r="AC91" s="90"/>
      <c r="AD91" s="90"/>
      <c r="AE91" s="90">
        <v>1</v>
      </c>
      <c r="AF91" s="89" t="str">
        <f>REPLACE(INDEX(GroupVertices[Group],MATCH(Edges[[#This Row],[Vertex 1]],GroupVertices[Vertex],0)),1,1,"")</f>
        <v>6</v>
      </c>
      <c r="AG91" s="89" t="str">
        <f>REPLACE(INDEX(GroupVertices[Group],MATCH(Edges[[#This Row],[Vertex 2]],GroupVertices[Vertex],0)),1,1,"")</f>
        <v>1</v>
      </c>
      <c r="AH91" s="48">
        <v>0</v>
      </c>
      <c r="AI91" s="49">
        <v>0</v>
      </c>
      <c r="AJ91" s="48">
        <v>1</v>
      </c>
      <c r="AK91" s="49">
        <v>7.142857142857143</v>
      </c>
      <c r="AL91" s="48">
        <v>0</v>
      </c>
      <c r="AM91" s="49">
        <v>0</v>
      </c>
      <c r="AN91" s="48">
        <v>13</v>
      </c>
      <c r="AO91" s="49">
        <v>92.85714285714286</v>
      </c>
      <c r="AP91" s="48">
        <v>14</v>
      </c>
    </row>
    <row r="92" spans="1:42" ht="15">
      <c r="A92" s="66" t="s">
        <v>826</v>
      </c>
      <c r="B92" s="66" t="s">
        <v>829</v>
      </c>
      <c r="C92" s="67" t="s">
        <v>743</v>
      </c>
      <c r="D92" s="68">
        <v>3</v>
      </c>
      <c r="E92" s="69"/>
      <c r="F92" s="70">
        <v>50</v>
      </c>
      <c r="G92" s="67"/>
      <c r="H92" s="71"/>
      <c r="I92" s="72"/>
      <c r="J92" s="72"/>
      <c r="K92" s="34" t="s">
        <v>65</v>
      </c>
      <c r="L92" s="79">
        <v>92</v>
      </c>
      <c r="M92" s="79"/>
      <c r="N92" s="74"/>
      <c r="O92" s="90" t="s">
        <v>322</v>
      </c>
      <c r="P92" s="90" t="s">
        <v>324</v>
      </c>
      <c r="Q92" s="90" t="s">
        <v>965</v>
      </c>
      <c r="R92" s="90" t="s">
        <v>826</v>
      </c>
      <c r="S92" s="90" t="s">
        <v>1133</v>
      </c>
      <c r="T92" s="93" t="str">
        <f>HYPERLINK("http://www.youtube.com/channel/UCmJgjUswcF2Q7mo3cJ364Sg")</f>
        <v>http://www.youtube.com/channel/UCmJgjUswcF2Q7mo3cJ364Sg</v>
      </c>
      <c r="U92" s="90" t="s">
        <v>1198</v>
      </c>
      <c r="V92" s="90" t="s">
        <v>1227</v>
      </c>
      <c r="W92" s="93" t="str">
        <f>HYPERLINK("https://www.youtube.com/watch?v=L3Ob_r4yk60")</f>
        <v>https://www.youtube.com/watch?v=L3Ob_r4yk60</v>
      </c>
      <c r="X92" s="90" t="s">
        <v>326</v>
      </c>
      <c r="Y92" s="90">
        <v>6</v>
      </c>
      <c r="Z92" s="96">
        <v>43912.48868055556</v>
      </c>
      <c r="AA92" s="96">
        <v>43912.48868055556</v>
      </c>
      <c r="AB92" s="90"/>
      <c r="AC92" s="90"/>
      <c r="AD92" s="90"/>
      <c r="AE92" s="90">
        <v>1</v>
      </c>
      <c r="AF92" s="89" t="str">
        <f>REPLACE(INDEX(GroupVertices[Group],MATCH(Edges[[#This Row],[Vertex 1]],GroupVertices[Vertex],0)),1,1,"")</f>
        <v>2</v>
      </c>
      <c r="AG92" s="89" t="str">
        <f>REPLACE(INDEX(GroupVertices[Group],MATCH(Edges[[#This Row],[Vertex 2]],GroupVertices[Vertex],0)),1,1,"")</f>
        <v>2</v>
      </c>
      <c r="AH92" s="48">
        <v>0</v>
      </c>
      <c r="AI92" s="49">
        <v>0</v>
      </c>
      <c r="AJ92" s="48">
        <v>0</v>
      </c>
      <c r="AK92" s="49">
        <v>0</v>
      </c>
      <c r="AL92" s="48">
        <v>0</v>
      </c>
      <c r="AM92" s="49">
        <v>0</v>
      </c>
      <c r="AN92" s="48">
        <v>5</v>
      </c>
      <c r="AO92" s="49">
        <v>100</v>
      </c>
      <c r="AP92" s="48">
        <v>5</v>
      </c>
    </row>
    <row r="93" spans="1:42" ht="15">
      <c r="A93" s="66" t="s">
        <v>827</v>
      </c>
      <c r="B93" s="66" t="s">
        <v>829</v>
      </c>
      <c r="C93" s="67" t="s">
        <v>743</v>
      </c>
      <c r="D93" s="68">
        <v>3</v>
      </c>
      <c r="E93" s="69"/>
      <c r="F93" s="70">
        <v>50</v>
      </c>
      <c r="G93" s="67"/>
      <c r="H93" s="71"/>
      <c r="I93" s="72"/>
      <c r="J93" s="72"/>
      <c r="K93" s="34" t="s">
        <v>65</v>
      </c>
      <c r="L93" s="79">
        <v>93</v>
      </c>
      <c r="M93" s="79"/>
      <c r="N93" s="74"/>
      <c r="O93" s="90" t="s">
        <v>322</v>
      </c>
      <c r="P93" s="90" t="s">
        <v>324</v>
      </c>
      <c r="Q93" s="90" t="s">
        <v>966</v>
      </c>
      <c r="R93" s="90" t="s">
        <v>827</v>
      </c>
      <c r="S93" s="90" t="s">
        <v>1134</v>
      </c>
      <c r="T93" s="93" t="str">
        <f>HYPERLINK("http://www.youtube.com/channel/UCbTEPPnor25BJIqAb_ZmhAA")</f>
        <v>http://www.youtube.com/channel/UCbTEPPnor25BJIqAb_ZmhAA</v>
      </c>
      <c r="U93" s="90" t="s">
        <v>1198</v>
      </c>
      <c r="V93" s="90" t="s">
        <v>1227</v>
      </c>
      <c r="W93" s="93" t="str">
        <f>HYPERLINK("https://www.youtube.com/watch?v=L3Ob_r4yk60")</f>
        <v>https://www.youtube.com/watch?v=L3Ob_r4yk60</v>
      </c>
      <c r="X93" s="90" t="s">
        <v>326</v>
      </c>
      <c r="Y93" s="90">
        <v>0</v>
      </c>
      <c r="Z93" s="96">
        <v>43912.578194444446</v>
      </c>
      <c r="AA93" s="96">
        <v>43912.578194444446</v>
      </c>
      <c r="AB93" s="90"/>
      <c r="AC93" s="90"/>
      <c r="AD93" s="90"/>
      <c r="AE93" s="90">
        <v>1</v>
      </c>
      <c r="AF93" s="89" t="str">
        <f>REPLACE(INDEX(GroupVertices[Group],MATCH(Edges[[#This Row],[Vertex 1]],GroupVertices[Vertex],0)),1,1,"")</f>
        <v>9</v>
      </c>
      <c r="AG93" s="89" t="str">
        <f>REPLACE(INDEX(GroupVertices[Group],MATCH(Edges[[#This Row],[Vertex 2]],GroupVertices[Vertex],0)),1,1,"")</f>
        <v>2</v>
      </c>
      <c r="AH93" s="48">
        <v>0</v>
      </c>
      <c r="AI93" s="49">
        <v>0</v>
      </c>
      <c r="AJ93" s="48">
        <v>0</v>
      </c>
      <c r="AK93" s="49">
        <v>0</v>
      </c>
      <c r="AL93" s="48">
        <v>0</v>
      </c>
      <c r="AM93" s="49">
        <v>0</v>
      </c>
      <c r="AN93" s="48">
        <v>8</v>
      </c>
      <c r="AO93" s="49">
        <v>100</v>
      </c>
      <c r="AP93" s="48">
        <v>8</v>
      </c>
    </row>
    <row r="94" spans="1:42" ht="15">
      <c r="A94" s="66" t="s">
        <v>828</v>
      </c>
      <c r="B94" s="66" t="s">
        <v>829</v>
      </c>
      <c r="C94" s="67" t="s">
        <v>743</v>
      </c>
      <c r="D94" s="68">
        <v>3</v>
      </c>
      <c r="E94" s="69"/>
      <c r="F94" s="70">
        <v>50</v>
      </c>
      <c r="G94" s="67"/>
      <c r="H94" s="71"/>
      <c r="I94" s="72"/>
      <c r="J94" s="72"/>
      <c r="K94" s="34" t="s">
        <v>65</v>
      </c>
      <c r="L94" s="79">
        <v>94</v>
      </c>
      <c r="M94" s="79"/>
      <c r="N94" s="74"/>
      <c r="O94" s="90" t="s">
        <v>322</v>
      </c>
      <c r="P94" s="90" t="s">
        <v>324</v>
      </c>
      <c r="Q94" s="90" t="s">
        <v>967</v>
      </c>
      <c r="R94" s="90" t="s">
        <v>828</v>
      </c>
      <c r="S94" s="90" t="s">
        <v>1135</v>
      </c>
      <c r="T94" s="93" t="str">
        <f>HYPERLINK("http://www.youtube.com/channel/UCxLES-3tK4vhQ8cLIIm7sYA")</f>
        <v>http://www.youtube.com/channel/UCxLES-3tK4vhQ8cLIIm7sYA</v>
      </c>
      <c r="U94" s="90" t="s">
        <v>1198</v>
      </c>
      <c r="V94" s="90" t="s">
        <v>1227</v>
      </c>
      <c r="W94" s="93" t="str">
        <f>HYPERLINK("https://www.youtube.com/watch?v=L3Ob_r4yk60")</f>
        <v>https://www.youtube.com/watch?v=L3Ob_r4yk60</v>
      </c>
      <c r="X94" s="90" t="s">
        <v>326</v>
      </c>
      <c r="Y94" s="90">
        <v>2</v>
      </c>
      <c r="Z94" s="96">
        <v>43912.593668981484</v>
      </c>
      <c r="AA94" s="96">
        <v>43912.593668981484</v>
      </c>
      <c r="AB94" s="90"/>
      <c r="AC94" s="90"/>
      <c r="AD94" s="90"/>
      <c r="AE94" s="90">
        <v>1</v>
      </c>
      <c r="AF94" s="89" t="str">
        <f>REPLACE(INDEX(GroupVertices[Group],MATCH(Edges[[#This Row],[Vertex 1]],GroupVertices[Vertex],0)),1,1,"")</f>
        <v>2</v>
      </c>
      <c r="AG94" s="89" t="str">
        <f>REPLACE(INDEX(GroupVertices[Group],MATCH(Edges[[#This Row],[Vertex 2]],GroupVertices[Vertex],0)),1,1,"")</f>
        <v>2</v>
      </c>
      <c r="AH94" s="48">
        <v>0</v>
      </c>
      <c r="AI94" s="49">
        <v>0</v>
      </c>
      <c r="AJ94" s="48">
        <v>3</v>
      </c>
      <c r="AK94" s="49">
        <v>6.666666666666667</v>
      </c>
      <c r="AL94" s="48">
        <v>0</v>
      </c>
      <c r="AM94" s="49">
        <v>0</v>
      </c>
      <c r="AN94" s="48">
        <v>42</v>
      </c>
      <c r="AO94" s="49">
        <v>93.33333333333333</v>
      </c>
      <c r="AP94" s="48">
        <v>45</v>
      </c>
    </row>
    <row r="95" spans="1:42" ht="15">
      <c r="A95" s="66" t="s">
        <v>815</v>
      </c>
      <c r="B95" s="66" t="s">
        <v>829</v>
      </c>
      <c r="C95" s="67" t="s">
        <v>743</v>
      </c>
      <c r="D95" s="68">
        <v>3</v>
      </c>
      <c r="E95" s="69"/>
      <c r="F95" s="70">
        <v>50</v>
      </c>
      <c r="G95" s="67"/>
      <c r="H95" s="71"/>
      <c r="I95" s="72"/>
      <c r="J95" s="72"/>
      <c r="K95" s="34" t="s">
        <v>65</v>
      </c>
      <c r="L95" s="79">
        <v>95</v>
      </c>
      <c r="M95" s="79"/>
      <c r="N95" s="74"/>
      <c r="O95" s="90" t="s">
        <v>322</v>
      </c>
      <c r="P95" s="90" t="s">
        <v>324</v>
      </c>
      <c r="Q95" s="90" t="s">
        <v>968</v>
      </c>
      <c r="R95" s="90" t="s">
        <v>815</v>
      </c>
      <c r="S95" s="90" t="s">
        <v>1122</v>
      </c>
      <c r="T95" s="93" t="str">
        <f>HYPERLINK("http://www.youtube.com/channel/UCBwIvSHzNL5sWjN0hcFGb2g")</f>
        <v>http://www.youtube.com/channel/UCBwIvSHzNL5sWjN0hcFGb2g</v>
      </c>
      <c r="U95" s="90" t="s">
        <v>1198</v>
      </c>
      <c r="V95" s="90" t="s">
        <v>1227</v>
      </c>
      <c r="W95" s="93" t="str">
        <f>HYPERLINK("https://www.youtube.com/watch?v=L3Ob_r4yk60")</f>
        <v>https://www.youtube.com/watch?v=L3Ob_r4yk60</v>
      </c>
      <c r="X95" s="90" t="s">
        <v>326</v>
      </c>
      <c r="Y95" s="90">
        <v>0</v>
      </c>
      <c r="Z95" s="96">
        <v>43912.68954861111</v>
      </c>
      <c r="AA95" s="96">
        <v>43912.68954861111</v>
      </c>
      <c r="AB95" s="90"/>
      <c r="AC95" s="90"/>
      <c r="AD95" s="90"/>
      <c r="AE95" s="90">
        <v>1</v>
      </c>
      <c r="AF95" s="89" t="str">
        <f>REPLACE(INDEX(GroupVertices[Group],MATCH(Edges[[#This Row],[Vertex 1]],GroupVertices[Vertex],0)),1,1,"")</f>
        <v>2</v>
      </c>
      <c r="AG95" s="89" t="str">
        <f>REPLACE(INDEX(GroupVertices[Group],MATCH(Edges[[#This Row],[Vertex 2]],GroupVertices[Vertex],0)),1,1,"")</f>
        <v>2</v>
      </c>
      <c r="AH95" s="48">
        <v>0</v>
      </c>
      <c r="AI95" s="49">
        <v>0</v>
      </c>
      <c r="AJ95" s="48">
        <v>1</v>
      </c>
      <c r="AK95" s="49">
        <v>10</v>
      </c>
      <c r="AL95" s="48">
        <v>0</v>
      </c>
      <c r="AM95" s="49">
        <v>0</v>
      </c>
      <c r="AN95" s="48">
        <v>9</v>
      </c>
      <c r="AO95" s="49">
        <v>90</v>
      </c>
      <c r="AP95" s="48">
        <v>10</v>
      </c>
    </row>
    <row r="96" spans="1:42" ht="15">
      <c r="A96" s="66" t="s">
        <v>829</v>
      </c>
      <c r="B96" s="66" t="s">
        <v>876</v>
      </c>
      <c r="C96" s="67" t="s">
        <v>743</v>
      </c>
      <c r="D96" s="68">
        <v>3</v>
      </c>
      <c r="E96" s="69"/>
      <c r="F96" s="70">
        <v>50</v>
      </c>
      <c r="G96" s="67"/>
      <c r="H96" s="71"/>
      <c r="I96" s="72"/>
      <c r="J96" s="72"/>
      <c r="K96" s="34" t="s">
        <v>65</v>
      </c>
      <c r="L96" s="79">
        <v>96</v>
      </c>
      <c r="M96" s="79"/>
      <c r="N96" s="74"/>
      <c r="O96" s="90" t="s">
        <v>323</v>
      </c>
      <c r="P96" s="90" t="s">
        <v>308</v>
      </c>
      <c r="Q96" s="90" t="s">
        <v>969</v>
      </c>
      <c r="R96" s="90" t="s">
        <v>829</v>
      </c>
      <c r="S96" s="90" t="s">
        <v>1136</v>
      </c>
      <c r="T96" s="93" t="str">
        <f>HYPERLINK("http://www.youtube.com/channel/UCPeJ687jzKmPpzaXaAUMhPQ")</f>
        <v>http://www.youtube.com/channel/UCPeJ687jzKmPpzaXaAUMhPQ</v>
      </c>
      <c r="U96" s="90"/>
      <c r="V96" s="90" t="s">
        <v>1227</v>
      </c>
      <c r="W96" s="93" t="str">
        <f>HYPERLINK("https://www.youtube.com/watch?v=L3Ob_r4yk60")</f>
        <v>https://www.youtube.com/watch?v=L3Ob_r4yk60</v>
      </c>
      <c r="X96" s="90" t="s">
        <v>326</v>
      </c>
      <c r="Y96" s="90">
        <v>18</v>
      </c>
      <c r="Z96" s="96">
        <v>43912.476377314815</v>
      </c>
      <c r="AA96" s="96">
        <v>43912.476377314815</v>
      </c>
      <c r="AB96" s="90"/>
      <c r="AC96" s="90"/>
      <c r="AD96" s="90"/>
      <c r="AE96" s="90">
        <v>1</v>
      </c>
      <c r="AF96" s="89" t="str">
        <f>REPLACE(INDEX(GroupVertices[Group],MATCH(Edges[[#This Row],[Vertex 1]],GroupVertices[Vertex],0)),1,1,"")</f>
        <v>2</v>
      </c>
      <c r="AG96" s="89" t="str">
        <f>REPLACE(INDEX(GroupVertices[Group],MATCH(Edges[[#This Row],[Vertex 2]],GroupVertices[Vertex],0)),1,1,"")</f>
        <v>1</v>
      </c>
      <c r="AH96" s="48">
        <v>1</v>
      </c>
      <c r="AI96" s="49">
        <v>12.5</v>
      </c>
      <c r="AJ96" s="48">
        <v>1</v>
      </c>
      <c r="AK96" s="49">
        <v>12.5</v>
      </c>
      <c r="AL96" s="48">
        <v>0</v>
      </c>
      <c r="AM96" s="49">
        <v>0</v>
      </c>
      <c r="AN96" s="48">
        <v>6</v>
      </c>
      <c r="AO96" s="49">
        <v>75</v>
      </c>
      <c r="AP96" s="48">
        <v>8</v>
      </c>
    </row>
    <row r="97" spans="1:42" ht="15">
      <c r="A97" s="66" t="s">
        <v>830</v>
      </c>
      <c r="B97" s="66" t="s">
        <v>834</v>
      </c>
      <c r="C97" s="67" t="s">
        <v>744</v>
      </c>
      <c r="D97" s="68">
        <v>10</v>
      </c>
      <c r="E97" s="69"/>
      <c r="F97" s="70">
        <v>20</v>
      </c>
      <c r="G97" s="67"/>
      <c r="H97" s="71"/>
      <c r="I97" s="72"/>
      <c r="J97" s="72"/>
      <c r="K97" s="34" t="s">
        <v>65</v>
      </c>
      <c r="L97" s="79">
        <v>97</v>
      </c>
      <c r="M97" s="79"/>
      <c r="N97" s="74"/>
      <c r="O97" s="90" t="s">
        <v>322</v>
      </c>
      <c r="P97" s="90" t="s">
        <v>324</v>
      </c>
      <c r="Q97" s="90" t="s">
        <v>970</v>
      </c>
      <c r="R97" s="90" t="s">
        <v>830</v>
      </c>
      <c r="S97" s="90" t="s">
        <v>1137</v>
      </c>
      <c r="T97" s="93" t="str">
        <f>HYPERLINK("http://www.youtube.com/channel/UClwdEiKlRcZPJs5YYFDRygw")</f>
        <v>http://www.youtube.com/channel/UClwdEiKlRcZPJs5YYFDRygw</v>
      </c>
      <c r="U97" s="90" t="s">
        <v>1199</v>
      </c>
      <c r="V97" s="90" t="s">
        <v>1227</v>
      </c>
      <c r="W97" s="93" t="str">
        <f>HYPERLINK("https://www.youtube.com/watch?v=")</f>
        <v>https://www.youtube.com/watch?v=</v>
      </c>
      <c r="X97" s="90" t="s">
        <v>326</v>
      </c>
      <c r="Y97" s="90">
        <v>3</v>
      </c>
      <c r="Z97" s="96">
        <v>43912.63984953704</v>
      </c>
      <c r="AA97" s="96">
        <v>43912.63984953704</v>
      </c>
      <c r="AB97" s="90"/>
      <c r="AC97" s="90"/>
      <c r="AD97" s="90"/>
      <c r="AE97" s="90">
        <v>4</v>
      </c>
      <c r="AF97" s="89" t="str">
        <f>REPLACE(INDEX(GroupVertices[Group],MATCH(Edges[[#This Row],[Vertex 1]],GroupVertices[Vertex],0)),1,1,"")</f>
        <v>4</v>
      </c>
      <c r="AG97" s="89" t="str">
        <f>REPLACE(INDEX(GroupVertices[Group],MATCH(Edges[[#This Row],[Vertex 2]],GroupVertices[Vertex],0)),1,1,"")</f>
        <v>4</v>
      </c>
      <c r="AH97" s="48">
        <v>0</v>
      </c>
      <c r="AI97" s="49">
        <v>0</v>
      </c>
      <c r="AJ97" s="48">
        <v>0</v>
      </c>
      <c r="AK97" s="49">
        <v>0</v>
      </c>
      <c r="AL97" s="48">
        <v>0</v>
      </c>
      <c r="AM97" s="49">
        <v>0</v>
      </c>
      <c r="AN97" s="48">
        <v>12</v>
      </c>
      <c r="AO97" s="49">
        <v>100</v>
      </c>
      <c r="AP97" s="48">
        <v>12</v>
      </c>
    </row>
    <row r="98" spans="1:42" ht="15">
      <c r="A98" s="66" t="s">
        <v>830</v>
      </c>
      <c r="B98" s="66" t="s">
        <v>834</v>
      </c>
      <c r="C98" s="67" t="s">
        <v>744</v>
      </c>
      <c r="D98" s="68">
        <v>10</v>
      </c>
      <c r="E98" s="69"/>
      <c r="F98" s="70">
        <v>20</v>
      </c>
      <c r="G98" s="67"/>
      <c r="H98" s="71"/>
      <c r="I98" s="72"/>
      <c r="J98" s="72"/>
      <c r="K98" s="34" t="s">
        <v>65</v>
      </c>
      <c r="L98" s="79">
        <v>98</v>
      </c>
      <c r="M98" s="79"/>
      <c r="N98" s="74"/>
      <c r="O98" s="90" t="s">
        <v>322</v>
      </c>
      <c r="P98" s="90" t="s">
        <v>324</v>
      </c>
      <c r="Q98" s="90" t="s">
        <v>971</v>
      </c>
      <c r="R98" s="90" t="s">
        <v>830</v>
      </c>
      <c r="S98" s="90" t="s">
        <v>1137</v>
      </c>
      <c r="T98" s="93" t="str">
        <f>HYPERLINK("http://www.youtube.com/channel/UClwdEiKlRcZPJs5YYFDRygw")</f>
        <v>http://www.youtube.com/channel/UClwdEiKlRcZPJs5YYFDRygw</v>
      </c>
      <c r="U98" s="90" t="s">
        <v>1199</v>
      </c>
      <c r="V98" s="90" t="s">
        <v>1227</v>
      </c>
      <c r="W98" s="93" t="str">
        <f>HYPERLINK("https://www.youtube.com/watch?v=")</f>
        <v>https://www.youtube.com/watch?v=</v>
      </c>
      <c r="X98" s="90" t="s">
        <v>326</v>
      </c>
      <c r="Y98" s="90">
        <v>1</v>
      </c>
      <c r="Z98" s="96">
        <v>43912.67039351852</v>
      </c>
      <c r="AA98" s="96">
        <v>43912.67215277778</v>
      </c>
      <c r="AB98" s="90"/>
      <c r="AC98" s="90"/>
      <c r="AD98" s="90"/>
      <c r="AE98" s="90">
        <v>4</v>
      </c>
      <c r="AF98" s="89" t="str">
        <f>REPLACE(INDEX(GroupVertices[Group],MATCH(Edges[[#This Row],[Vertex 1]],GroupVertices[Vertex],0)),1,1,"")</f>
        <v>4</v>
      </c>
      <c r="AG98" s="89" t="str">
        <f>REPLACE(INDEX(GroupVertices[Group],MATCH(Edges[[#This Row],[Vertex 2]],GroupVertices[Vertex],0)),1,1,"")</f>
        <v>4</v>
      </c>
      <c r="AH98" s="48">
        <v>4</v>
      </c>
      <c r="AI98" s="49">
        <v>7.6923076923076925</v>
      </c>
      <c r="AJ98" s="48">
        <v>2</v>
      </c>
      <c r="AK98" s="49">
        <v>3.8461538461538463</v>
      </c>
      <c r="AL98" s="48">
        <v>0</v>
      </c>
      <c r="AM98" s="49">
        <v>0</v>
      </c>
      <c r="AN98" s="48">
        <v>46</v>
      </c>
      <c r="AO98" s="49">
        <v>88.46153846153847</v>
      </c>
      <c r="AP98" s="48">
        <v>52</v>
      </c>
    </row>
    <row r="99" spans="1:42" ht="15">
      <c r="A99" s="66" t="s">
        <v>830</v>
      </c>
      <c r="B99" s="66" t="s">
        <v>834</v>
      </c>
      <c r="C99" s="67" t="s">
        <v>744</v>
      </c>
      <c r="D99" s="68">
        <v>10</v>
      </c>
      <c r="E99" s="69"/>
      <c r="F99" s="70">
        <v>20</v>
      </c>
      <c r="G99" s="67"/>
      <c r="H99" s="71"/>
      <c r="I99" s="72"/>
      <c r="J99" s="72"/>
      <c r="K99" s="34" t="s">
        <v>65</v>
      </c>
      <c r="L99" s="79">
        <v>99</v>
      </c>
      <c r="M99" s="79"/>
      <c r="N99" s="74"/>
      <c r="O99" s="90" t="s">
        <v>322</v>
      </c>
      <c r="P99" s="90" t="s">
        <v>324</v>
      </c>
      <c r="Q99" s="90" t="s">
        <v>972</v>
      </c>
      <c r="R99" s="90" t="s">
        <v>830</v>
      </c>
      <c r="S99" s="90" t="s">
        <v>1137</v>
      </c>
      <c r="T99" s="93" t="str">
        <f>HYPERLINK("http://www.youtube.com/channel/UClwdEiKlRcZPJs5YYFDRygw")</f>
        <v>http://www.youtube.com/channel/UClwdEiKlRcZPJs5YYFDRygw</v>
      </c>
      <c r="U99" s="90" t="s">
        <v>1199</v>
      </c>
      <c r="V99" s="90" t="s">
        <v>1227</v>
      </c>
      <c r="W99" s="93" t="str">
        <f>HYPERLINK("https://www.youtube.com/watch?v=")</f>
        <v>https://www.youtube.com/watch?v=</v>
      </c>
      <c r="X99" s="90" t="s">
        <v>326</v>
      </c>
      <c r="Y99" s="90">
        <v>0</v>
      </c>
      <c r="Z99" s="96">
        <v>43912.69122685185</v>
      </c>
      <c r="AA99" s="96">
        <v>43912.69149305556</v>
      </c>
      <c r="AB99" s="90"/>
      <c r="AC99" s="90"/>
      <c r="AD99" s="90"/>
      <c r="AE99" s="90">
        <v>4</v>
      </c>
      <c r="AF99" s="89" t="str">
        <f>REPLACE(INDEX(GroupVertices[Group],MATCH(Edges[[#This Row],[Vertex 1]],GroupVertices[Vertex],0)),1,1,"")</f>
        <v>4</v>
      </c>
      <c r="AG99" s="89" t="str">
        <f>REPLACE(INDEX(GroupVertices[Group],MATCH(Edges[[#This Row],[Vertex 2]],GroupVertices[Vertex],0)),1,1,"")</f>
        <v>4</v>
      </c>
      <c r="AH99" s="48">
        <v>2</v>
      </c>
      <c r="AI99" s="49">
        <v>8.333333333333334</v>
      </c>
      <c r="AJ99" s="48">
        <v>2</v>
      </c>
      <c r="AK99" s="49">
        <v>8.333333333333334</v>
      </c>
      <c r="AL99" s="48">
        <v>0</v>
      </c>
      <c r="AM99" s="49">
        <v>0</v>
      </c>
      <c r="AN99" s="48">
        <v>20</v>
      </c>
      <c r="AO99" s="49">
        <v>83.33333333333333</v>
      </c>
      <c r="AP99" s="48">
        <v>24</v>
      </c>
    </row>
    <row r="100" spans="1:42" ht="15">
      <c r="A100" s="66" t="s">
        <v>830</v>
      </c>
      <c r="B100" s="66" t="s">
        <v>834</v>
      </c>
      <c r="C100" s="67" t="s">
        <v>744</v>
      </c>
      <c r="D100" s="68">
        <v>10</v>
      </c>
      <c r="E100" s="69"/>
      <c r="F100" s="70">
        <v>20</v>
      </c>
      <c r="G100" s="67"/>
      <c r="H100" s="71"/>
      <c r="I100" s="72"/>
      <c r="J100" s="72"/>
      <c r="K100" s="34" t="s">
        <v>65</v>
      </c>
      <c r="L100" s="79">
        <v>100</v>
      </c>
      <c r="M100" s="79"/>
      <c r="N100" s="74"/>
      <c r="O100" s="90" t="s">
        <v>322</v>
      </c>
      <c r="P100" s="90" t="s">
        <v>324</v>
      </c>
      <c r="Q100" s="90" t="s">
        <v>973</v>
      </c>
      <c r="R100" s="90" t="s">
        <v>830</v>
      </c>
      <c r="S100" s="90" t="s">
        <v>1137</v>
      </c>
      <c r="T100" s="93" t="str">
        <f>HYPERLINK("http://www.youtube.com/channel/UClwdEiKlRcZPJs5YYFDRygw")</f>
        <v>http://www.youtube.com/channel/UClwdEiKlRcZPJs5YYFDRygw</v>
      </c>
      <c r="U100" s="90" t="s">
        <v>1199</v>
      </c>
      <c r="V100" s="90" t="s">
        <v>1227</v>
      </c>
      <c r="W100" s="93" t="str">
        <f>HYPERLINK("https://www.youtube.com/watch?v=")</f>
        <v>https://www.youtube.com/watch?v=</v>
      </c>
      <c r="X100" s="90" t="s">
        <v>326</v>
      </c>
      <c r="Y100" s="90">
        <v>0</v>
      </c>
      <c r="Z100" s="96">
        <v>43912.69925925926</v>
      </c>
      <c r="AA100" s="96">
        <v>43912.69925925926</v>
      </c>
      <c r="AB100" s="90"/>
      <c r="AC100" s="90"/>
      <c r="AD100" s="90"/>
      <c r="AE100" s="90">
        <v>4</v>
      </c>
      <c r="AF100" s="89" t="str">
        <f>REPLACE(INDEX(GroupVertices[Group],MATCH(Edges[[#This Row],[Vertex 1]],GroupVertices[Vertex],0)),1,1,"")</f>
        <v>4</v>
      </c>
      <c r="AG100" s="89" t="str">
        <f>REPLACE(INDEX(GroupVertices[Group],MATCH(Edges[[#This Row],[Vertex 2]],GroupVertices[Vertex],0)),1,1,"")</f>
        <v>4</v>
      </c>
      <c r="AH100" s="48">
        <v>0</v>
      </c>
      <c r="AI100" s="49">
        <v>0</v>
      </c>
      <c r="AJ100" s="48">
        <v>0</v>
      </c>
      <c r="AK100" s="49">
        <v>0</v>
      </c>
      <c r="AL100" s="48">
        <v>0</v>
      </c>
      <c r="AM100" s="49">
        <v>0</v>
      </c>
      <c r="AN100" s="48">
        <v>20</v>
      </c>
      <c r="AO100" s="49">
        <v>100</v>
      </c>
      <c r="AP100" s="48">
        <v>20</v>
      </c>
    </row>
    <row r="101" spans="1:42" ht="15">
      <c r="A101" s="66" t="s">
        <v>831</v>
      </c>
      <c r="B101" s="66" t="s">
        <v>834</v>
      </c>
      <c r="C101" s="67" t="s">
        <v>744</v>
      </c>
      <c r="D101" s="68">
        <v>10</v>
      </c>
      <c r="E101" s="69"/>
      <c r="F101" s="70">
        <v>20</v>
      </c>
      <c r="G101" s="67"/>
      <c r="H101" s="71"/>
      <c r="I101" s="72"/>
      <c r="J101" s="72"/>
      <c r="K101" s="34" t="s">
        <v>65</v>
      </c>
      <c r="L101" s="79">
        <v>101</v>
      </c>
      <c r="M101" s="79"/>
      <c r="N101" s="74"/>
      <c r="O101" s="90" t="s">
        <v>322</v>
      </c>
      <c r="P101" s="90" t="s">
        <v>324</v>
      </c>
      <c r="Q101" s="90" t="s">
        <v>974</v>
      </c>
      <c r="R101" s="90" t="s">
        <v>831</v>
      </c>
      <c r="S101" s="90" t="s">
        <v>1138</v>
      </c>
      <c r="T101" s="93" t="str">
        <f>HYPERLINK("http://www.youtube.com/channel/UCPQEfl5Izzd58jGk1clvJrg")</f>
        <v>http://www.youtube.com/channel/UCPQEfl5Izzd58jGk1clvJrg</v>
      </c>
      <c r="U101" s="90" t="s">
        <v>1199</v>
      </c>
      <c r="V101" s="90" t="s">
        <v>1227</v>
      </c>
      <c r="W101" s="93" t="str">
        <f>HYPERLINK("https://www.youtube.com/watch?v=")</f>
        <v>https://www.youtube.com/watch?v=</v>
      </c>
      <c r="X101" s="90" t="s">
        <v>326</v>
      </c>
      <c r="Y101" s="90">
        <v>6</v>
      </c>
      <c r="Z101" s="96">
        <v>43912.60493055556</v>
      </c>
      <c r="AA101" s="96">
        <v>43912.60493055556</v>
      </c>
      <c r="AB101" s="90"/>
      <c r="AC101" s="90"/>
      <c r="AD101" s="90"/>
      <c r="AE101" s="90">
        <v>6</v>
      </c>
      <c r="AF101" s="89" t="str">
        <f>REPLACE(INDEX(GroupVertices[Group],MATCH(Edges[[#This Row],[Vertex 1]],GroupVertices[Vertex],0)),1,1,"")</f>
        <v>4</v>
      </c>
      <c r="AG101" s="89" t="str">
        <f>REPLACE(INDEX(GroupVertices[Group],MATCH(Edges[[#This Row],[Vertex 2]],GroupVertices[Vertex],0)),1,1,"")</f>
        <v>4</v>
      </c>
      <c r="AH101" s="48">
        <v>3</v>
      </c>
      <c r="AI101" s="49">
        <v>9.67741935483871</v>
      </c>
      <c r="AJ101" s="48">
        <v>2</v>
      </c>
      <c r="AK101" s="49">
        <v>6.451612903225806</v>
      </c>
      <c r="AL101" s="48">
        <v>0</v>
      </c>
      <c r="AM101" s="49">
        <v>0</v>
      </c>
      <c r="AN101" s="48">
        <v>26</v>
      </c>
      <c r="AO101" s="49">
        <v>83.87096774193549</v>
      </c>
      <c r="AP101" s="48">
        <v>31</v>
      </c>
    </row>
    <row r="102" spans="1:42" ht="15">
      <c r="A102" s="66" t="s">
        <v>831</v>
      </c>
      <c r="B102" s="66" t="s">
        <v>834</v>
      </c>
      <c r="C102" s="67" t="s">
        <v>744</v>
      </c>
      <c r="D102" s="68">
        <v>10</v>
      </c>
      <c r="E102" s="69"/>
      <c r="F102" s="70">
        <v>20</v>
      </c>
      <c r="G102" s="67"/>
      <c r="H102" s="71"/>
      <c r="I102" s="72"/>
      <c r="J102" s="72"/>
      <c r="K102" s="34" t="s">
        <v>65</v>
      </c>
      <c r="L102" s="79">
        <v>102</v>
      </c>
      <c r="M102" s="79"/>
      <c r="N102" s="74"/>
      <c r="O102" s="90" t="s">
        <v>322</v>
      </c>
      <c r="P102" s="90" t="s">
        <v>324</v>
      </c>
      <c r="Q102" s="90" t="s">
        <v>975</v>
      </c>
      <c r="R102" s="90" t="s">
        <v>831</v>
      </c>
      <c r="S102" s="90" t="s">
        <v>1138</v>
      </c>
      <c r="T102" s="93" t="str">
        <f>HYPERLINK("http://www.youtube.com/channel/UCPQEfl5Izzd58jGk1clvJrg")</f>
        <v>http://www.youtube.com/channel/UCPQEfl5Izzd58jGk1clvJrg</v>
      </c>
      <c r="U102" s="90" t="s">
        <v>1199</v>
      </c>
      <c r="V102" s="90" t="s">
        <v>1227</v>
      </c>
      <c r="W102" s="93" t="str">
        <f>HYPERLINK("https://www.youtube.com/watch?v=")</f>
        <v>https://www.youtube.com/watch?v=</v>
      </c>
      <c r="X102" s="90" t="s">
        <v>326</v>
      </c>
      <c r="Y102" s="90">
        <v>0</v>
      </c>
      <c r="Z102" s="96">
        <v>43912.61754629629</v>
      </c>
      <c r="AA102" s="96">
        <v>43912.61754629629</v>
      </c>
      <c r="AB102" s="90"/>
      <c r="AC102" s="90"/>
      <c r="AD102" s="90"/>
      <c r="AE102" s="90">
        <v>6</v>
      </c>
      <c r="AF102" s="89" t="str">
        <f>REPLACE(INDEX(GroupVertices[Group],MATCH(Edges[[#This Row],[Vertex 1]],GroupVertices[Vertex],0)),1,1,"")</f>
        <v>4</v>
      </c>
      <c r="AG102" s="89" t="str">
        <f>REPLACE(INDEX(GroupVertices[Group],MATCH(Edges[[#This Row],[Vertex 2]],GroupVertices[Vertex],0)),1,1,"")</f>
        <v>4</v>
      </c>
      <c r="AH102" s="48">
        <v>1</v>
      </c>
      <c r="AI102" s="49">
        <v>14.285714285714286</v>
      </c>
      <c r="AJ102" s="48">
        <v>0</v>
      </c>
      <c r="AK102" s="49">
        <v>0</v>
      </c>
      <c r="AL102" s="48">
        <v>0</v>
      </c>
      <c r="AM102" s="49">
        <v>0</v>
      </c>
      <c r="AN102" s="48">
        <v>6</v>
      </c>
      <c r="AO102" s="49">
        <v>85.71428571428571</v>
      </c>
      <c r="AP102" s="48">
        <v>7</v>
      </c>
    </row>
    <row r="103" spans="1:42" ht="15">
      <c r="A103" s="66" t="s">
        <v>831</v>
      </c>
      <c r="B103" s="66" t="s">
        <v>834</v>
      </c>
      <c r="C103" s="67" t="s">
        <v>744</v>
      </c>
      <c r="D103" s="68">
        <v>10</v>
      </c>
      <c r="E103" s="69"/>
      <c r="F103" s="70">
        <v>20</v>
      </c>
      <c r="G103" s="67"/>
      <c r="H103" s="71"/>
      <c r="I103" s="72"/>
      <c r="J103" s="72"/>
      <c r="K103" s="34" t="s">
        <v>65</v>
      </c>
      <c r="L103" s="79">
        <v>103</v>
      </c>
      <c r="M103" s="79"/>
      <c r="N103" s="74"/>
      <c r="O103" s="90" t="s">
        <v>322</v>
      </c>
      <c r="P103" s="90" t="s">
        <v>324</v>
      </c>
      <c r="Q103" s="90" t="s">
        <v>976</v>
      </c>
      <c r="R103" s="90" t="s">
        <v>831</v>
      </c>
      <c r="S103" s="90" t="s">
        <v>1138</v>
      </c>
      <c r="T103" s="93" t="str">
        <f>HYPERLINK("http://www.youtube.com/channel/UCPQEfl5Izzd58jGk1clvJrg")</f>
        <v>http://www.youtube.com/channel/UCPQEfl5Izzd58jGk1clvJrg</v>
      </c>
      <c r="U103" s="90" t="s">
        <v>1199</v>
      </c>
      <c r="V103" s="90" t="s">
        <v>1227</v>
      </c>
      <c r="W103" s="93" t="str">
        <f>HYPERLINK("https://www.youtube.com/watch?v=")</f>
        <v>https://www.youtube.com/watch?v=</v>
      </c>
      <c r="X103" s="90" t="s">
        <v>326</v>
      </c>
      <c r="Y103" s="90">
        <v>2</v>
      </c>
      <c r="Z103" s="96">
        <v>43912.64674768518</v>
      </c>
      <c r="AA103" s="96">
        <v>43912.64674768518</v>
      </c>
      <c r="AB103" s="90"/>
      <c r="AC103" s="90"/>
      <c r="AD103" s="90"/>
      <c r="AE103" s="90">
        <v>6</v>
      </c>
      <c r="AF103" s="89" t="str">
        <f>REPLACE(INDEX(GroupVertices[Group],MATCH(Edges[[#This Row],[Vertex 1]],GroupVertices[Vertex],0)),1,1,"")</f>
        <v>4</v>
      </c>
      <c r="AG103" s="89" t="str">
        <f>REPLACE(INDEX(GroupVertices[Group],MATCH(Edges[[#This Row],[Vertex 2]],GroupVertices[Vertex],0)),1,1,"")</f>
        <v>4</v>
      </c>
      <c r="AH103" s="48">
        <v>0</v>
      </c>
      <c r="AI103" s="49">
        <v>0</v>
      </c>
      <c r="AJ103" s="48">
        <v>1</v>
      </c>
      <c r="AK103" s="49">
        <v>5.555555555555555</v>
      </c>
      <c r="AL103" s="48">
        <v>0</v>
      </c>
      <c r="AM103" s="49">
        <v>0</v>
      </c>
      <c r="AN103" s="48">
        <v>17</v>
      </c>
      <c r="AO103" s="49">
        <v>94.44444444444444</v>
      </c>
      <c r="AP103" s="48">
        <v>18</v>
      </c>
    </row>
    <row r="104" spans="1:42" ht="15">
      <c r="A104" s="66" t="s">
        <v>831</v>
      </c>
      <c r="B104" s="66" t="s">
        <v>834</v>
      </c>
      <c r="C104" s="67" t="s">
        <v>744</v>
      </c>
      <c r="D104" s="68">
        <v>10</v>
      </c>
      <c r="E104" s="69"/>
      <c r="F104" s="70">
        <v>20</v>
      </c>
      <c r="G104" s="67"/>
      <c r="H104" s="71"/>
      <c r="I104" s="72"/>
      <c r="J104" s="72"/>
      <c r="K104" s="34" t="s">
        <v>65</v>
      </c>
      <c r="L104" s="79">
        <v>104</v>
      </c>
      <c r="M104" s="79"/>
      <c r="N104" s="74"/>
      <c r="O104" s="90" t="s">
        <v>322</v>
      </c>
      <c r="P104" s="90" t="s">
        <v>324</v>
      </c>
      <c r="Q104" s="90" t="s">
        <v>977</v>
      </c>
      <c r="R104" s="90" t="s">
        <v>831</v>
      </c>
      <c r="S104" s="90" t="s">
        <v>1138</v>
      </c>
      <c r="T104" s="93" t="str">
        <f>HYPERLINK("http://www.youtube.com/channel/UCPQEfl5Izzd58jGk1clvJrg")</f>
        <v>http://www.youtube.com/channel/UCPQEfl5Izzd58jGk1clvJrg</v>
      </c>
      <c r="U104" s="90" t="s">
        <v>1199</v>
      </c>
      <c r="V104" s="90" t="s">
        <v>1227</v>
      </c>
      <c r="W104" s="93" t="str">
        <f>HYPERLINK("https://www.youtube.com/watch?v=")</f>
        <v>https://www.youtube.com/watch?v=</v>
      </c>
      <c r="X104" s="90" t="s">
        <v>326</v>
      </c>
      <c r="Y104" s="90">
        <v>0</v>
      </c>
      <c r="Z104" s="96">
        <v>43912.67990740741</v>
      </c>
      <c r="AA104" s="96">
        <v>43912.67990740741</v>
      </c>
      <c r="AB104" s="90"/>
      <c r="AC104" s="90"/>
      <c r="AD104" s="90"/>
      <c r="AE104" s="90">
        <v>6</v>
      </c>
      <c r="AF104" s="89" t="str">
        <f>REPLACE(INDEX(GroupVertices[Group],MATCH(Edges[[#This Row],[Vertex 1]],GroupVertices[Vertex],0)),1,1,"")</f>
        <v>4</v>
      </c>
      <c r="AG104" s="89" t="str">
        <f>REPLACE(INDEX(GroupVertices[Group],MATCH(Edges[[#This Row],[Vertex 2]],GroupVertices[Vertex],0)),1,1,"")</f>
        <v>4</v>
      </c>
      <c r="AH104" s="48">
        <v>0</v>
      </c>
      <c r="AI104" s="49">
        <v>0</v>
      </c>
      <c r="AJ104" s="48">
        <v>1</v>
      </c>
      <c r="AK104" s="49">
        <v>6.666666666666667</v>
      </c>
      <c r="AL104" s="48">
        <v>0</v>
      </c>
      <c r="AM104" s="49">
        <v>0</v>
      </c>
      <c r="AN104" s="48">
        <v>14</v>
      </c>
      <c r="AO104" s="49">
        <v>93.33333333333333</v>
      </c>
      <c r="AP104" s="48">
        <v>15</v>
      </c>
    </row>
    <row r="105" spans="1:42" ht="15">
      <c r="A105" s="66" t="s">
        <v>831</v>
      </c>
      <c r="B105" s="66" t="s">
        <v>834</v>
      </c>
      <c r="C105" s="67" t="s">
        <v>744</v>
      </c>
      <c r="D105" s="68">
        <v>10</v>
      </c>
      <c r="E105" s="69"/>
      <c r="F105" s="70">
        <v>20</v>
      </c>
      <c r="G105" s="67"/>
      <c r="H105" s="71"/>
      <c r="I105" s="72"/>
      <c r="J105" s="72"/>
      <c r="K105" s="34" t="s">
        <v>65</v>
      </c>
      <c r="L105" s="79">
        <v>105</v>
      </c>
      <c r="M105" s="79"/>
      <c r="N105" s="74"/>
      <c r="O105" s="90" t="s">
        <v>322</v>
      </c>
      <c r="P105" s="90" t="s">
        <v>324</v>
      </c>
      <c r="Q105" s="90" t="s">
        <v>978</v>
      </c>
      <c r="R105" s="90" t="s">
        <v>831</v>
      </c>
      <c r="S105" s="90" t="s">
        <v>1138</v>
      </c>
      <c r="T105" s="93" t="str">
        <f>HYPERLINK("http://www.youtube.com/channel/UCPQEfl5Izzd58jGk1clvJrg")</f>
        <v>http://www.youtube.com/channel/UCPQEfl5Izzd58jGk1clvJrg</v>
      </c>
      <c r="U105" s="90" t="s">
        <v>1199</v>
      </c>
      <c r="V105" s="90" t="s">
        <v>1227</v>
      </c>
      <c r="W105" s="93" t="str">
        <f>HYPERLINK("https://www.youtube.com/watch?v=")</f>
        <v>https://www.youtube.com/watch?v=</v>
      </c>
      <c r="X105" s="90" t="s">
        <v>326</v>
      </c>
      <c r="Y105" s="90">
        <v>0</v>
      </c>
      <c r="Z105" s="96">
        <v>43912.69489583333</v>
      </c>
      <c r="AA105" s="96">
        <v>43912.69489583333</v>
      </c>
      <c r="AB105" s="90"/>
      <c r="AC105" s="90"/>
      <c r="AD105" s="90"/>
      <c r="AE105" s="90">
        <v>6</v>
      </c>
      <c r="AF105" s="89" t="str">
        <f>REPLACE(INDEX(GroupVertices[Group],MATCH(Edges[[#This Row],[Vertex 1]],GroupVertices[Vertex],0)),1,1,"")</f>
        <v>4</v>
      </c>
      <c r="AG105" s="89" t="str">
        <f>REPLACE(INDEX(GroupVertices[Group],MATCH(Edges[[#This Row],[Vertex 2]],GroupVertices[Vertex],0)),1,1,"")</f>
        <v>4</v>
      </c>
      <c r="AH105" s="48">
        <v>0</v>
      </c>
      <c r="AI105" s="49">
        <v>0</v>
      </c>
      <c r="AJ105" s="48">
        <v>0</v>
      </c>
      <c r="AK105" s="49">
        <v>0</v>
      </c>
      <c r="AL105" s="48">
        <v>0</v>
      </c>
      <c r="AM105" s="49">
        <v>0</v>
      </c>
      <c r="AN105" s="48">
        <v>23</v>
      </c>
      <c r="AO105" s="49">
        <v>100</v>
      </c>
      <c r="AP105" s="48">
        <v>23</v>
      </c>
    </row>
    <row r="106" spans="1:42" ht="15">
      <c r="A106" s="66" t="s">
        <v>831</v>
      </c>
      <c r="B106" s="66" t="s">
        <v>834</v>
      </c>
      <c r="C106" s="67" t="s">
        <v>744</v>
      </c>
      <c r="D106" s="68">
        <v>10</v>
      </c>
      <c r="E106" s="69"/>
      <c r="F106" s="70">
        <v>20</v>
      </c>
      <c r="G106" s="67"/>
      <c r="H106" s="71"/>
      <c r="I106" s="72"/>
      <c r="J106" s="72"/>
      <c r="K106" s="34" t="s">
        <v>65</v>
      </c>
      <c r="L106" s="79">
        <v>106</v>
      </c>
      <c r="M106" s="79"/>
      <c r="N106" s="74"/>
      <c r="O106" s="90" t="s">
        <v>322</v>
      </c>
      <c r="P106" s="90" t="s">
        <v>324</v>
      </c>
      <c r="Q106" s="90" t="s">
        <v>979</v>
      </c>
      <c r="R106" s="90" t="s">
        <v>831</v>
      </c>
      <c r="S106" s="90" t="s">
        <v>1138</v>
      </c>
      <c r="T106" s="93" t="str">
        <f>HYPERLINK("http://www.youtube.com/channel/UCPQEfl5Izzd58jGk1clvJrg")</f>
        <v>http://www.youtube.com/channel/UCPQEfl5Izzd58jGk1clvJrg</v>
      </c>
      <c r="U106" s="90" t="s">
        <v>1199</v>
      </c>
      <c r="V106" s="90" t="s">
        <v>1227</v>
      </c>
      <c r="W106" s="93" t="str">
        <f>HYPERLINK("https://www.youtube.com/watch?v=")</f>
        <v>https://www.youtube.com/watch?v=</v>
      </c>
      <c r="X106" s="90" t="s">
        <v>326</v>
      </c>
      <c r="Y106" s="90">
        <v>0</v>
      </c>
      <c r="Z106" s="96">
        <v>43912.70171296296</v>
      </c>
      <c r="AA106" s="96">
        <v>43912.70171296296</v>
      </c>
      <c r="AB106" s="90"/>
      <c r="AC106" s="90"/>
      <c r="AD106" s="90"/>
      <c r="AE106" s="90">
        <v>6</v>
      </c>
      <c r="AF106" s="89" t="str">
        <f>REPLACE(INDEX(GroupVertices[Group],MATCH(Edges[[#This Row],[Vertex 1]],GroupVertices[Vertex],0)),1,1,"")</f>
        <v>4</v>
      </c>
      <c r="AG106" s="89" t="str">
        <f>REPLACE(INDEX(GroupVertices[Group],MATCH(Edges[[#This Row],[Vertex 2]],GroupVertices[Vertex],0)),1,1,"")</f>
        <v>4</v>
      </c>
      <c r="AH106" s="48">
        <v>0</v>
      </c>
      <c r="AI106" s="49">
        <v>0</v>
      </c>
      <c r="AJ106" s="48">
        <v>0</v>
      </c>
      <c r="AK106" s="49">
        <v>0</v>
      </c>
      <c r="AL106" s="48">
        <v>0</v>
      </c>
      <c r="AM106" s="49">
        <v>0</v>
      </c>
      <c r="AN106" s="48">
        <v>6</v>
      </c>
      <c r="AO106" s="49">
        <v>100</v>
      </c>
      <c r="AP106" s="48">
        <v>6</v>
      </c>
    </row>
    <row r="107" spans="1:42" ht="15">
      <c r="A107" s="66" t="s">
        <v>778</v>
      </c>
      <c r="B107" s="66" t="s">
        <v>834</v>
      </c>
      <c r="C107" s="67" t="s">
        <v>743</v>
      </c>
      <c r="D107" s="68">
        <v>3</v>
      </c>
      <c r="E107" s="69"/>
      <c r="F107" s="70">
        <v>50</v>
      </c>
      <c r="G107" s="67"/>
      <c r="H107" s="71"/>
      <c r="I107" s="72"/>
      <c r="J107" s="72"/>
      <c r="K107" s="34" t="s">
        <v>65</v>
      </c>
      <c r="L107" s="79">
        <v>107</v>
      </c>
      <c r="M107" s="79"/>
      <c r="N107" s="74"/>
      <c r="O107" s="90" t="s">
        <v>322</v>
      </c>
      <c r="P107" s="90" t="s">
        <v>324</v>
      </c>
      <c r="Q107" s="90" t="s">
        <v>980</v>
      </c>
      <c r="R107" s="90" t="s">
        <v>778</v>
      </c>
      <c r="S107" s="90" t="s">
        <v>1085</v>
      </c>
      <c r="T107" s="93" t="str">
        <f>HYPERLINK("http://www.youtube.com/channel/UCvFvo310EFTNVcGfu0vvTPg")</f>
        <v>http://www.youtube.com/channel/UCvFvo310EFTNVcGfu0vvTPg</v>
      </c>
      <c r="U107" s="90" t="s">
        <v>1199</v>
      </c>
      <c r="V107" s="90" t="s">
        <v>1227</v>
      </c>
      <c r="W107" s="93" t="str">
        <f>HYPERLINK("https://www.youtube.com/watch?v=")</f>
        <v>https://www.youtube.com/watch?v=</v>
      </c>
      <c r="X107" s="90" t="s">
        <v>326</v>
      </c>
      <c r="Y107" s="90">
        <v>10</v>
      </c>
      <c r="Z107" s="96">
        <v>43912.53555555556</v>
      </c>
      <c r="AA107" s="96">
        <v>43912.53555555556</v>
      </c>
      <c r="AB107" s="90"/>
      <c r="AC107" s="90"/>
      <c r="AD107" s="90"/>
      <c r="AE107" s="90">
        <v>1</v>
      </c>
      <c r="AF107" s="89" t="str">
        <f>REPLACE(INDEX(GroupVertices[Group],MATCH(Edges[[#This Row],[Vertex 1]],GroupVertices[Vertex],0)),1,1,"")</f>
        <v>3</v>
      </c>
      <c r="AG107" s="89" t="str">
        <f>REPLACE(INDEX(GroupVertices[Group],MATCH(Edges[[#This Row],[Vertex 2]],GroupVertices[Vertex],0)),1,1,"")</f>
        <v>4</v>
      </c>
      <c r="AH107" s="48">
        <v>1</v>
      </c>
      <c r="AI107" s="49">
        <v>2.6315789473684212</v>
      </c>
      <c r="AJ107" s="48">
        <v>2</v>
      </c>
      <c r="AK107" s="49">
        <v>5.2631578947368425</v>
      </c>
      <c r="AL107" s="48">
        <v>0</v>
      </c>
      <c r="AM107" s="49">
        <v>0</v>
      </c>
      <c r="AN107" s="48">
        <v>35</v>
      </c>
      <c r="AO107" s="49">
        <v>92.10526315789474</v>
      </c>
      <c r="AP107" s="48">
        <v>38</v>
      </c>
    </row>
    <row r="108" spans="1:42" ht="15">
      <c r="A108" s="66" t="s">
        <v>832</v>
      </c>
      <c r="B108" s="66" t="s">
        <v>834</v>
      </c>
      <c r="C108" s="67" t="s">
        <v>743</v>
      </c>
      <c r="D108" s="68">
        <v>3</v>
      </c>
      <c r="E108" s="69"/>
      <c r="F108" s="70">
        <v>50</v>
      </c>
      <c r="G108" s="67"/>
      <c r="H108" s="71"/>
      <c r="I108" s="72"/>
      <c r="J108" s="72"/>
      <c r="K108" s="34" t="s">
        <v>65</v>
      </c>
      <c r="L108" s="79">
        <v>108</v>
      </c>
      <c r="M108" s="79"/>
      <c r="N108" s="74"/>
      <c r="O108" s="90" t="s">
        <v>322</v>
      </c>
      <c r="P108" s="90" t="s">
        <v>324</v>
      </c>
      <c r="Q108" s="90" t="s">
        <v>981</v>
      </c>
      <c r="R108" s="90" t="s">
        <v>832</v>
      </c>
      <c r="S108" s="90" t="s">
        <v>1139</v>
      </c>
      <c r="T108" s="93" t="str">
        <f>HYPERLINK("http://www.youtube.com/channel/UCI4gPi01UDuazhDGJEVOwlg")</f>
        <v>http://www.youtube.com/channel/UCI4gPi01UDuazhDGJEVOwlg</v>
      </c>
      <c r="U108" s="90" t="s">
        <v>1199</v>
      </c>
      <c r="V108" s="90" t="s">
        <v>1227</v>
      </c>
      <c r="W108" s="93" t="str">
        <f>HYPERLINK("https://www.youtube.com/watch?v=")</f>
        <v>https://www.youtube.com/watch?v=</v>
      </c>
      <c r="X108" s="90" t="s">
        <v>326</v>
      </c>
      <c r="Y108" s="90">
        <v>4</v>
      </c>
      <c r="Z108" s="96">
        <v>43912.611296296294</v>
      </c>
      <c r="AA108" s="96">
        <v>43912.611296296294</v>
      </c>
      <c r="AB108" s="90"/>
      <c r="AC108" s="90"/>
      <c r="AD108" s="90"/>
      <c r="AE108" s="90">
        <v>1</v>
      </c>
      <c r="AF108" s="89" t="str">
        <f>REPLACE(INDEX(GroupVertices[Group],MATCH(Edges[[#This Row],[Vertex 1]],GroupVertices[Vertex],0)),1,1,"")</f>
        <v>2</v>
      </c>
      <c r="AG108" s="89" t="str">
        <f>REPLACE(INDEX(GroupVertices[Group],MATCH(Edges[[#This Row],[Vertex 2]],GroupVertices[Vertex],0)),1,1,"")</f>
        <v>4</v>
      </c>
      <c r="AH108" s="48">
        <v>0</v>
      </c>
      <c r="AI108" s="49">
        <v>0</v>
      </c>
      <c r="AJ108" s="48">
        <v>1</v>
      </c>
      <c r="AK108" s="49">
        <v>14.285714285714286</v>
      </c>
      <c r="AL108" s="48">
        <v>0</v>
      </c>
      <c r="AM108" s="49">
        <v>0</v>
      </c>
      <c r="AN108" s="48">
        <v>6</v>
      </c>
      <c r="AO108" s="49">
        <v>85.71428571428571</v>
      </c>
      <c r="AP108" s="48">
        <v>7</v>
      </c>
    </row>
    <row r="109" spans="1:42" ht="15">
      <c r="A109" s="66" t="s">
        <v>833</v>
      </c>
      <c r="B109" s="66" t="s">
        <v>834</v>
      </c>
      <c r="C109" s="67" t="s">
        <v>743</v>
      </c>
      <c r="D109" s="68">
        <v>3</v>
      </c>
      <c r="E109" s="69"/>
      <c r="F109" s="70">
        <v>50</v>
      </c>
      <c r="G109" s="67"/>
      <c r="H109" s="71"/>
      <c r="I109" s="72"/>
      <c r="J109" s="72"/>
      <c r="K109" s="34" t="s">
        <v>65</v>
      </c>
      <c r="L109" s="79">
        <v>109</v>
      </c>
      <c r="M109" s="79"/>
      <c r="N109" s="74"/>
      <c r="O109" s="90" t="s">
        <v>322</v>
      </c>
      <c r="P109" s="90" t="s">
        <v>324</v>
      </c>
      <c r="Q109" s="90" t="s">
        <v>982</v>
      </c>
      <c r="R109" s="90" t="s">
        <v>833</v>
      </c>
      <c r="S109" s="90" t="s">
        <v>1140</v>
      </c>
      <c r="T109" s="93" t="str">
        <f>HYPERLINK("http://www.youtube.com/channel/UCm7F1hYnkmFqIf7Ee5fx4PQ")</f>
        <v>http://www.youtube.com/channel/UCm7F1hYnkmFqIf7Ee5fx4PQ</v>
      </c>
      <c r="U109" s="90" t="s">
        <v>1199</v>
      </c>
      <c r="V109" s="90" t="s">
        <v>1227</v>
      </c>
      <c r="W109" s="93" t="str">
        <f>HYPERLINK("https://www.youtube.com/watch?v=")</f>
        <v>https://www.youtube.com/watch?v=</v>
      </c>
      <c r="X109" s="90" t="s">
        <v>326</v>
      </c>
      <c r="Y109" s="90">
        <v>2</v>
      </c>
      <c r="Z109" s="96">
        <v>43912.66173611111</v>
      </c>
      <c r="AA109" s="96">
        <v>43912.66173611111</v>
      </c>
      <c r="AB109" s="90"/>
      <c r="AC109" s="90"/>
      <c r="AD109" s="90"/>
      <c r="AE109" s="90">
        <v>1</v>
      </c>
      <c r="AF109" s="89" t="str">
        <f>REPLACE(INDEX(GroupVertices[Group],MATCH(Edges[[#This Row],[Vertex 1]],GroupVertices[Vertex],0)),1,1,"")</f>
        <v>4</v>
      </c>
      <c r="AG109" s="89" t="str">
        <f>REPLACE(INDEX(GroupVertices[Group],MATCH(Edges[[#This Row],[Vertex 2]],GroupVertices[Vertex],0)),1,1,"")</f>
        <v>4</v>
      </c>
      <c r="AH109" s="48">
        <v>0</v>
      </c>
      <c r="AI109" s="49">
        <v>0</v>
      </c>
      <c r="AJ109" s="48">
        <v>1</v>
      </c>
      <c r="AK109" s="49">
        <v>7.142857142857143</v>
      </c>
      <c r="AL109" s="48">
        <v>0</v>
      </c>
      <c r="AM109" s="49">
        <v>0</v>
      </c>
      <c r="AN109" s="48">
        <v>13</v>
      </c>
      <c r="AO109" s="49">
        <v>92.85714285714286</v>
      </c>
      <c r="AP109" s="48">
        <v>14</v>
      </c>
    </row>
    <row r="110" spans="1:42" ht="15">
      <c r="A110" s="66" t="s">
        <v>834</v>
      </c>
      <c r="B110" s="66" t="s">
        <v>834</v>
      </c>
      <c r="C110" s="67" t="s">
        <v>744</v>
      </c>
      <c r="D110" s="68">
        <v>10</v>
      </c>
      <c r="E110" s="69"/>
      <c r="F110" s="70">
        <v>20</v>
      </c>
      <c r="G110" s="67"/>
      <c r="H110" s="71"/>
      <c r="I110" s="72"/>
      <c r="J110" s="72"/>
      <c r="K110" s="34" t="s">
        <v>65</v>
      </c>
      <c r="L110" s="79">
        <v>110</v>
      </c>
      <c r="M110" s="79"/>
      <c r="N110" s="74"/>
      <c r="O110" s="90" t="s">
        <v>322</v>
      </c>
      <c r="P110" s="90" t="s">
        <v>324</v>
      </c>
      <c r="Q110" s="90" t="s">
        <v>983</v>
      </c>
      <c r="R110" s="90" t="s">
        <v>834</v>
      </c>
      <c r="S110" s="90" t="s">
        <v>1141</v>
      </c>
      <c r="T110" s="93" t="str">
        <f>HYPERLINK("http://www.youtube.com/channel/UC7nM_6yyE5e46kBfFap5QpA")</f>
        <v>http://www.youtube.com/channel/UC7nM_6yyE5e46kBfFap5QpA</v>
      </c>
      <c r="U110" s="90" t="s">
        <v>1199</v>
      </c>
      <c r="V110" s="90" t="s">
        <v>1227</v>
      </c>
      <c r="W110" s="93" t="str">
        <f>HYPERLINK("https://www.youtube.com/watch?v=")</f>
        <v>https://www.youtube.com/watch?v=</v>
      </c>
      <c r="X110" s="90" t="s">
        <v>326</v>
      </c>
      <c r="Y110" s="90">
        <v>0</v>
      </c>
      <c r="Z110" s="96">
        <v>43913.30850694444</v>
      </c>
      <c r="AA110" s="96">
        <v>43913.30850694444</v>
      </c>
      <c r="AB110" s="90"/>
      <c r="AC110" s="90"/>
      <c r="AD110" s="90"/>
      <c r="AE110" s="90">
        <v>2</v>
      </c>
      <c r="AF110" s="89" t="str">
        <f>REPLACE(INDEX(GroupVertices[Group],MATCH(Edges[[#This Row],[Vertex 1]],GroupVertices[Vertex],0)),1,1,"")</f>
        <v>4</v>
      </c>
      <c r="AG110" s="89" t="str">
        <f>REPLACE(INDEX(GroupVertices[Group],MATCH(Edges[[#This Row],[Vertex 2]],GroupVertices[Vertex],0)),1,1,"")</f>
        <v>4</v>
      </c>
      <c r="AH110" s="48">
        <v>1</v>
      </c>
      <c r="AI110" s="49">
        <v>4</v>
      </c>
      <c r="AJ110" s="48">
        <v>0</v>
      </c>
      <c r="AK110" s="49">
        <v>0</v>
      </c>
      <c r="AL110" s="48">
        <v>0</v>
      </c>
      <c r="AM110" s="49">
        <v>0</v>
      </c>
      <c r="AN110" s="48">
        <v>24</v>
      </c>
      <c r="AO110" s="49">
        <v>96</v>
      </c>
      <c r="AP110" s="48">
        <v>25</v>
      </c>
    </row>
    <row r="111" spans="1:42" ht="15">
      <c r="A111" s="66" t="s">
        <v>834</v>
      </c>
      <c r="B111" s="66" t="s">
        <v>834</v>
      </c>
      <c r="C111" s="67" t="s">
        <v>744</v>
      </c>
      <c r="D111" s="68">
        <v>10</v>
      </c>
      <c r="E111" s="69"/>
      <c r="F111" s="70">
        <v>20</v>
      </c>
      <c r="G111" s="67"/>
      <c r="H111" s="71"/>
      <c r="I111" s="72"/>
      <c r="J111" s="72"/>
      <c r="K111" s="34" t="s">
        <v>65</v>
      </c>
      <c r="L111" s="79">
        <v>111</v>
      </c>
      <c r="M111" s="79"/>
      <c r="N111" s="74"/>
      <c r="O111" s="90" t="s">
        <v>322</v>
      </c>
      <c r="P111" s="90" t="s">
        <v>324</v>
      </c>
      <c r="Q111" s="90" t="s">
        <v>984</v>
      </c>
      <c r="R111" s="90" t="s">
        <v>834</v>
      </c>
      <c r="S111" s="90" t="s">
        <v>1141</v>
      </c>
      <c r="T111" s="93" t="str">
        <f>HYPERLINK("http://www.youtube.com/channel/UC7nM_6yyE5e46kBfFap5QpA")</f>
        <v>http://www.youtube.com/channel/UC7nM_6yyE5e46kBfFap5QpA</v>
      </c>
      <c r="U111" s="90" t="s">
        <v>1199</v>
      </c>
      <c r="V111" s="90" t="s">
        <v>1227</v>
      </c>
      <c r="W111" s="93" t="str">
        <f>HYPERLINK("https://www.youtube.com/watch?v=")</f>
        <v>https://www.youtube.com/watch?v=</v>
      </c>
      <c r="X111" s="90" t="s">
        <v>326</v>
      </c>
      <c r="Y111" s="90">
        <v>0</v>
      </c>
      <c r="Z111" s="96">
        <v>43913.31612268519</v>
      </c>
      <c r="AA111" s="96">
        <v>43913.31612268519</v>
      </c>
      <c r="AB111" s="90"/>
      <c r="AC111" s="90"/>
      <c r="AD111" s="90"/>
      <c r="AE111" s="90">
        <v>2</v>
      </c>
      <c r="AF111" s="89" t="str">
        <f>REPLACE(INDEX(GroupVertices[Group],MATCH(Edges[[#This Row],[Vertex 1]],GroupVertices[Vertex],0)),1,1,"")</f>
        <v>4</v>
      </c>
      <c r="AG111" s="89" t="str">
        <f>REPLACE(INDEX(GroupVertices[Group],MATCH(Edges[[#This Row],[Vertex 2]],GroupVertices[Vertex],0)),1,1,"")</f>
        <v>4</v>
      </c>
      <c r="AH111" s="48">
        <v>3</v>
      </c>
      <c r="AI111" s="49">
        <v>3.0303030303030303</v>
      </c>
      <c r="AJ111" s="48">
        <v>5</v>
      </c>
      <c r="AK111" s="49">
        <v>5.05050505050505</v>
      </c>
      <c r="AL111" s="48">
        <v>0</v>
      </c>
      <c r="AM111" s="49">
        <v>0</v>
      </c>
      <c r="AN111" s="48">
        <v>91</v>
      </c>
      <c r="AO111" s="49">
        <v>91.91919191919192</v>
      </c>
      <c r="AP111" s="48">
        <v>99</v>
      </c>
    </row>
    <row r="112" spans="1:42" ht="15">
      <c r="A112" s="66" t="s">
        <v>835</v>
      </c>
      <c r="B112" s="66" t="s">
        <v>834</v>
      </c>
      <c r="C112" s="67" t="s">
        <v>743</v>
      </c>
      <c r="D112" s="68">
        <v>3</v>
      </c>
      <c r="E112" s="69"/>
      <c r="F112" s="70">
        <v>50</v>
      </c>
      <c r="G112" s="67"/>
      <c r="H112" s="71"/>
      <c r="I112" s="72"/>
      <c r="J112" s="72"/>
      <c r="K112" s="34" t="s">
        <v>65</v>
      </c>
      <c r="L112" s="79">
        <v>112</v>
      </c>
      <c r="M112" s="79"/>
      <c r="N112" s="74"/>
      <c r="O112" s="90" t="s">
        <v>322</v>
      </c>
      <c r="P112" s="90" t="s">
        <v>324</v>
      </c>
      <c r="Q112" s="90" t="s">
        <v>985</v>
      </c>
      <c r="R112" s="90" t="s">
        <v>835</v>
      </c>
      <c r="S112" s="90" t="s">
        <v>1142</v>
      </c>
      <c r="T112" s="93" t="str">
        <f>HYPERLINK("http://www.youtube.com/channel/UCIa6MTGkOnHzKaIHeEUTsZQ")</f>
        <v>http://www.youtube.com/channel/UCIa6MTGkOnHzKaIHeEUTsZQ</v>
      </c>
      <c r="U112" s="90" t="s">
        <v>1199</v>
      </c>
      <c r="V112" s="90" t="s">
        <v>1227</v>
      </c>
      <c r="W112" s="93" t="str">
        <f>HYPERLINK("https://www.youtube.com/watch?v=")</f>
        <v>https://www.youtube.com/watch?v=</v>
      </c>
      <c r="X112" s="90" t="s">
        <v>326</v>
      </c>
      <c r="Y112" s="90">
        <v>1</v>
      </c>
      <c r="Z112" s="96">
        <v>43917.31847222222</v>
      </c>
      <c r="AA112" s="96">
        <v>43917.31847222222</v>
      </c>
      <c r="AB112" s="90"/>
      <c r="AC112" s="90"/>
      <c r="AD112" s="90"/>
      <c r="AE112" s="90">
        <v>1</v>
      </c>
      <c r="AF112" s="89" t="str">
        <f>REPLACE(INDEX(GroupVertices[Group],MATCH(Edges[[#This Row],[Vertex 1]],GroupVertices[Vertex],0)),1,1,"")</f>
        <v>4</v>
      </c>
      <c r="AG112" s="89" t="str">
        <f>REPLACE(INDEX(GroupVertices[Group],MATCH(Edges[[#This Row],[Vertex 2]],GroupVertices[Vertex],0)),1,1,"")</f>
        <v>4</v>
      </c>
      <c r="AH112" s="48">
        <v>0</v>
      </c>
      <c r="AI112" s="49">
        <v>0</v>
      </c>
      <c r="AJ112" s="48">
        <v>0</v>
      </c>
      <c r="AK112" s="49">
        <v>0</v>
      </c>
      <c r="AL112" s="48">
        <v>0</v>
      </c>
      <c r="AM112" s="49">
        <v>0</v>
      </c>
      <c r="AN112" s="48">
        <v>2</v>
      </c>
      <c r="AO112" s="49">
        <v>100</v>
      </c>
      <c r="AP112" s="48">
        <v>2</v>
      </c>
    </row>
    <row r="113" spans="1:42" ht="15">
      <c r="A113" s="66" t="s">
        <v>834</v>
      </c>
      <c r="B113" s="66" t="s">
        <v>876</v>
      </c>
      <c r="C113" s="67" t="s">
        <v>743</v>
      </c>
      <c r="D113" s="68">
        <v>3</v>
      </c>
      <c r="E113" s="69"/>
      <c r="F113" s="70">
        <v>50</v>
      </c>
      <c r="G113" s="67"/>
      <c r="H113" s="71"/>
      <c r="I113" s="72"/>
      <c r="J113" s="72"/>
      <c r="K113" s="34" t="s">
        <v>65</v>
      </c>
      <c r="L113" s="79">
        <v>113</v>
      </c>
      <c r="M113" s="79"/>
      <c r="N113" s="74"/>
      <c r="O113" s="90" t="s">
        <v>323</v>
      </c>
      <c r="P113" s="90" t="s">
        <v>308</v>
      </c>
      <c r="Q113" s="90" t="s">
        <v>986</v>
      </c>
      <c r="R113" s="90" t="s">
        <v>834</v>
      </c>
      <c r="S113" s="90" t="s">
        <v>1141</v>
      </c>
      <c r="T113" s="93" t="str">
        <f>HYPERLINK("http://www.youtube.com/channel/UC7nM_6yyE5e46kBfFap5QpA")</f>
        <v>http://www.youtube.com/channel/UC7nM_6yyE5e46kBfFap5QpA</v>
      </c>
      <c r="U113" s="90"/>
      <c r="V113" s="90" t="s">
        <v>1227</v>
      </c>
      <c r="W113" s="93" t="str">
        <f>HYPERLINK("https://www.youtube.com/watch?v=L3Ob_r4yk60")</f>
        <v>https://www.youtube.com/watch?v=L3Ob_r4yk60</v>
      </c>
      <c r="X113" s="90" t="s">
        <v>326</v>
      </c>
      <c r="Y113" s="90">
        <v>45</v>
      </c>
      <c r="Z113" s="96">
        <v>43912.47966435185</v>
      </c>
      <c r="AA113" s="96">
        <v>43912.47966435185</v>
      </c>
      <c r="AB113" s="90"/>
      <c r="AC113" s="90"/>
      <c r="AD113" s="90"/>
      <c r="AE113" s="90">
        <v>1</v>
      </c>
      <c r="AF113" s="89" t="str">
        <f>REPLACE(INDEX(GroupVertices[Group],MATCH(Edges[[#This Row],[Vertex 1]],GroupVertices[Vertex],0)),1,1,"")</f>
        <v>4</v>
      </c>
      <c r="AG113" s="89" t="str">
        <f>REPLACE(INDEX(GroupVertices[Group],MATCH(Edges[[#This Row],[Vertex 2]],GroupVertices[Vertex],0)),1,1,"")</f>
        <v>1</v>
      </c>
      <c r="AH113" s="48">
        <v>0</v>
      </c>
      <c r="AI113" s="49">
        <v>0</v>
      </c>
      <c r="AJ113" s="48">
        <v>1</v>
      </c>
      <c r="AK113" s="49">
        <v>9.090909090909092</v>
      </c>
      <c r="AL113" s="48">
        <v>0</v>
      </c>
      <c r="AM113" s="49">
        <v>0</v>
      </c>
      <c r="AN113" s="48">
        <v>10</v>
      </c>
      <c r="AO113" s="49">
        <v>90.9090909090909</v>
      </c>
      <c r="AP113" s="48">
        <v>11</v>
      </c>
    </row>
    <row r="114" spans="1:42" ht="15">
      <c r="A114" s="66" t="s">
        <v>836</v>
      </c>
      <c r="B114" s="66" t="s">
        <v>837</v>
      </c>
      <c r="C114" s="67" t="s">
        <v>743</v>
      </c>
      <c r="D114" s="68">
        <v>3</v>
      </c>
      <c r="E114" s="69"/>
      <c r="F114" s="70">
        <v>50</v>
      </c>
      <c r="G114" s="67"/>
      <c r="H114" s="71"/>
      <c r="I114" s="72"/>
      <c r="J114" s="72"/>
      <c r="K114" s="34" t="s">
        <v>65</v>
      </c>
      <c r="L114" s="79">
        <v>114</v>
      </c>
      <c r="M114" s="79"/>
      <c r="N114" s="74"/>
      <c r="O114" s="90" t="s">
        <v>322</v>
      </c>
      <c r="P114" s="90" t="s">
        <v>324</v>
      </c>
      <c r="Q114" s="90" t="s">
        <v>987</v>
      </c>
      <c r="R114" s="90" t="s">
        <v>836</v>
      </c>
      <c r="S114" s="90" t="s">
        <v>1143</v>
      </c>
      <c r="T114" s="93" t="str">
        <f>HYPERLINK("http://www.youtube.com/channel/UCh3sDKgt1TqH1VuAh-4u04Q")</f>
        <v>http://www.youtube.com/channel/UCh3sDKgt1TqH1VuAh-4u04Q</v>
      </c>
      <c r="U114" s="90" t="s">
        <v>1200</v>
      </c>
      <c r="V114" s="90" t="s">
        <v>1227</v>
      </c>
      <c r="W114" s="93" t="str">
        <f>HYPERLINK("https://www.youtube.com/watch?v=L3Ob_r4yk60")</f>
        <v>https://www.youtube.com/watch?v=L3Ob_r4yk60</v>
      </c>
      <c r="X114" s="90" t="s">
        <v>326</v>
      </c>
      <c r="Y114" s="90">
        <v>0</v>
      </c>
      <c r="Z114" s="96">
        <v>43912.56363425926</v>
      </c>
      <c r="AA114" s="96">
        <v>43912.56363425926</v>
      </c>
      <c r="AB114" s="90"/>
      <c r="AC114" s="90"/>
      <c r="AD114" s="90"/>
      <c r="AE114" s="90">
        <v>1</v>
      </c>
      <c r="AF114" s="89" t="str">
        <f>REPLACE(INDEX(GroupVertices[Group],MATCH(Edges[[#This Row],[Vertex 1]],GroupVertices[Vertex],0)),1,1,"")</f>
        <v>1</v>
      </c>
      <c r="AG114" s="89" t="str">
        <f>REPLACE(INDEX(GroupVertices[Group],MATCH(Edges[[#This Row],[Vertex 2]],GroupVertices[Vertex],0)),1,1,"")</f>
        <v>1</v>
      </c>
      <c r="AH114" s="48">
        <v>0</v>
      </c>
      <c r="AI114" s="49">
        <v>0</v>
      </c>
      <c r="AJ114" s="48">
        <v>1</v>
      </c>
      <c r="AK114" s="49">
        <v>5.882352941176471</v>
      </c>
      <c r="AL114" s="48">
        <v>0</v>
      </c>
      <c r="AM114" s="49">
        <v>0</v>
      </c>
      <c r="AN114" s="48">
        <v>16</v>
      </c>
      <c r="AO114" s="49">
        <v>94.11764705882354</v>
      </c>
      <c r="AP114" s="48">
        <v>17</v>
      </c>
    </row>
    <row r="115" spans="1:42" ht="15">
      <c r="A115" s="66" t="s">
        <v>837</v>
      </c>
      <c r="B115" s="66" t="s">
        <v>876</v>
      </c>
      <c r="C115" s="67" t="s">
        <v>743</v>
      </c>
      <c r="D115" s="68">
        <v>3</v>
      </c>
      <c r="E115" s="69"/>
      <c r="F115" s="70">
        <v>50</v>
      </c>
      <c r="G115" s="67"/>
      <c r="H115" s="71"/>
      <c r="I115" s="72"/>
      <c r="J115" s="72"/>
      <c r="K115" s="34" t="s">
        <v>65</v>
      </c>
      <c r="L115" s="79">
        <v>115</v>
      </c>
      <c r="M115" s="79"/>
      <c r="N115" s="74"/>
      <c r="O115" s="90" t="s">
        <v>323</v>
      </c>
      <c r="P115" s="90" t="s">
        <v>308</v>
      </c>
      <c r="Q115" s="90" t="s">
        <v>988</v>
      </c>
      <c r="R115" s="90" t="s">
        <v>837</v>
      </c>
      <c r="S115" s="90" t="s">
        <v>1144</v>
      </c>
      <c r="T115" s="93" t="str">
        <f>HYPERLINK("http://www.youtube.com/channel/UCPs5ReaHmB8LvhgKnIznIpg")</f>
        <v>http://www.youtube.com/channel/UCPs5ReaHmB8LvhgKnIznIpg</v>
      </c>
      <c r="U115" s="90"/>
      <c r="V115" s="90" t="s">
        <v>1227</v>
      </c>
      <c r="W115" s="93" t="str">
        <f>HYPERLINK("https://www.youtube.com/watch?v=L3Ob_r4yk60")</f>
        <v>https://www.youtube.com/watch?v=L3Ob_r4yk60</v>
      </c>
      <c r="X115" s="90" t="s">
        <v>326</v>
      </c>
      <c r="Y115" s="90">
        <v>3</v>
      </c>
      <c r="Z115" s="96">
        <v>43912.48321759259</v>
      </c>
      <c r="AA115" s="96">
        <v>43912.48321759259</v>
      </c>
      <c r="AB115" s="90"/>
      <c r="AC115" s="90"/>
      <c r="AD115" s="90"/>
      <c r="AE115" s="90">
        <v>1</v>
      </c>
      <c r="AF115" s="89" t="str">
        <f>REPLACE(INDEX(GroupVertices[Group],MATCH(Edges[[#This Row],[Vertex 1]],GroupVertices[Vertex],0)),1,1,"")</f>
        <v>1</v>
      </c>
      <c r="AG115" s="89" t="str">
        <f>REPLACE(INDEX(GroupVertices[Group],MATCH(Edges[[#This Row],[Vertex 2]],GroupVertices[Vertex],0)),1,1,"")</f>
        <v>1</v>
      </c>
      <c r="AH115" s="48">
        <v>0</v>
      </c>
      <c r="AI115" s="49">
        <v>0</v>
      </c>
      <c r="AJ115" s="48">
        <v>1</v>
      </c>
      <c r="AK115" s="49">
        <v>2.4390243902439024</v>
      </c>
      <c r="AL115" s="48">
        <v>0</v>
      </c>
      <c r="AM115" s="49">
        <v>0</v>
      </c>
      <c r="AN115" s="48">
        <v>40</v>
      </c>
      <c r="AO115" s="49">
        <v>97.5609756097561</v>
      </c>
      <c r="AP115" s="48">
        <v>41</v>
      </c>
    </row>
    <row r="116" spans="1:42" ht="15">
      <c r="A116" s="66" t="s">
        <v>824</v>
      </c>
      <c r="B116" s="66" t="s">
        <v>839</v>
      </c>
      <c r="C116" s="67" t="s">
        <v>744</v>
      </c>
      <c r="D116" s="68">
        <v>10</v>
      </c>
      <c r="E116" s="69"/>
      <c r="F116" s="70">
        <v>20</v>
      </c>
      <c r="G116" s="67"/>
      <c r="H116" s="71"/>
      <c r="I116" s="72"/>
      <c r="J116" s="72"/>
      <c r="K116" s="34" t="s">
        <v>65</v>
      </c>
      <c r="L116" s="79">
        <v>116</v>
      </c>
      <c r="M116" s="79"/>
      <c r="N116" s="74"/>
      <c r="O116" s="90" t="s">
        <v>322</v>
      </c>
      <c r="P116" s="90" t="s">
        <v>324</v>
      </c>
      <c r="Q116" s="90" t="s">
        <v>989</v>
      </c>
      <c r="R116" s="90" t="s">
        <v>824</v>
      </c>
      <c r="S116" s="90" t="s">
        <v>1131</v>
      </c>
      <c r="T116" s="93" t="str">
        <f>HYPERLINK("http://www.youtube.com/channel/UCuFOndAULZ3uyRBasI9ahpg")</f>
        <v>http://www.youtube.com/channel/UCuFOndAULZ3uyRBasI9ahpg</v>
      </c>
      <c r="U116" s="90" t="s">
        <v>1201</v>
      </c>
      <c r="V116" s="90" t="s">
        <v>1227</v>
      </c>
      <c r="W116" s="93" t="str">
        <f>HYPERLINK("https://www.youtube.com/watch?v=")</f>
        <v>https://www.youtube.com/watch?v=</v>
      </c>
      <c r="X116" s="90" t="s">
        <v>326</v>
      </c>
      <c r="Y116" s="90">
        <v>0</v>
      </c>
      <c r="Z116" s="96">
        <v>43912.58829861111</v>
      </c>
      <c r="AA116" s="96">
        <v>43912.58829861111</v>
      </c>
      <c r="AB116" s="90"/>
      <c r="AC116" s="90"/>
      <c r="AD116" s="90"/>
      <c r="AE116" s="90">
        <v>5</v>
      </c>
      <c r="AF116" s="89" t="str">
        <f>REPLACE(INDEX(GroupVertices[Group],MATCH(Edges[[#This Row],[Vertex 1]],GroupVertices[Vertex],0)),1,1,"")</f>
        <v>6</v>
      </c>
      <c r="AG116" s="89" t="str">
        <f>REPLACE(INDEX(GroupVertices[Group],MATCH(Edges[[#This Row],[Vertex 2]],GroupVertices[Vertex],0)),1,1,"")</f>
        <v>6</v>
      </c>
      <c r="AH116" s="48">
        <v>0</v>
      </c>
      <c r="AI116" s="49">
        <v>0</v>
      </c>
      <c r="AJ116" s="48">
        <v>3</v>
      </c>
      <c r="AK116" s="49">
        <v>15.789473684210526</v>
      </c>
      <c r="AL116" s="48">
        <v>0</v>
      </c>
      <c r="AM116" s="49">
        <v>0</v>
      </c>
      <c r="AN116" s="48">
        <v>16</v>
      </c>
      <c r="AO116" s="49">
        <v>84.21052631578948</v>
      </c>
      <c r="AP116" s="48">
        <v>19</v>
      </c>
    </row>
    <row r="117" spans="1:42" ht="15">
      <c r="A117" s="66" t="s">
        <v>824</v>
      </c>
      <c r="B117" s="66" t="s">
        <v>839</v>
      </c>
      <c r="C117" s="67" t="s">
        <v>744</v>
      </c>
      <c r="D117" s="68">
        <v>10</v>
      </c>
      <c r="E117" s="69"/>
      <c r="F117" s="70">
        <v>20</v>
      </c>
      <c r="G117" s="67"/>
      <c r="H117" s="71"/>
      <c r="I117" s="72"/>
      <c r="J117" s="72"/>
      <c r="K117" s="34" t="s">
        <v>65</v>
      </c>
      <c r="L117" s="79">
        <v>117</v>
      </c>
      <c r="M117" s="79"/>
      <c r="N117" s="74"/>
      <c r="O117" s="90" t="s">
        <v>322</v>
      </c>
      <c r="P117" s="90" t="s">
        <v>324</v>
      </c>
      <c r="Q117" s="90" t="s">
        <v>990</v>
      </c>
      <c r="R117" s="90" t="s">
        <v>824</v>
      </c>
      <c r="S117" s="90" t="s">
        <v>1131</v>
      </c>
      <c r="T117" s="93" t="str">
        <f>HYPERLINK("http://www.youtube.com/channel/UCuFOndAULZ3uyRBasI9ahpg")</f>
        <v>http://www.youtube.com/channel/UCuFOndAULZ3uyRBasI9ahpg</v>
      </c>
      <c r="U117" s="90" t="s">
        <v>1201</v>
      </c>
      <c r="V117" s="90" t="s">
        <v>1227</v>
      </c>
      <c r="W117" s="93" t="str">
        <f>HYPERLINK("https://www.youtube.com/watch?v=")</f>
        <v>https://www.youtube.com/watch?v=</v>
      </c>
      <c r="X117" s="90" t="s">
        <v>326</v>
      </c>
      <c r="Y117" s="90">
        <v>0</v>
      </c>
      <c r="Z117" s="96">
        <v>43912.721863425926</v>
      </c>
      <c r="AA117" s="96">
        <v>43912.72222222222</v>
      </c>
      <c r="AB117" s="90"/>
      <c r="AC117" s="90"/>
      <c r="AD117" s="90"/>
      <c r="AE117" s="90">
        <v>5</v>
      </c>
      <c r="AF117" s="89" t="str">
        <f>REPLACE(INDEX(GroupVertices[Group],MATCH(Edges[[#This Row],[Vertex 1]],GroupVertices[Vertex],0)),1,1,"")</f>
        <v>6</v>
      </c>
      <c r="AG117" s="89" t="str">
        <f>REPLACE(INDEX(GroupVertices[Group],MATCH(Edges[[#This Row],[Vertex 2]],GroupVertices[Vertex],0)),1,1,"")</f>
        <v>6</v>
      </c>
      <c r="AH117" s="48">
        <v>1</v>
      </c>
      <c r="AI117" s="49">
        <v>6.25</v>
      </c>
      <c r="AJ117" s="48">
        <v>0</v>
      </c>
      <c r="AK117" s="49">
        <v>0</v>
      </c>
      <c r="AL117" s="48">
        <v>0</v>
      </c>
      <c r="AM117" s="49">
        <v>0</v>
      </c>
      <c r="AN117" s="48">
        <v>15</v>
      </c>
      <c r="AO117" s="49">
        <v>93.75</v>
      </c>
      <c r="AP117" s="48">
        <v>16</v>
      </c>
    </row>
    <row r="118" spans="1:42" ht="15">
      <c r="A118" s="66" t="s">
        <v>824</v>
      </c>
      <c r="B118" s="66" t="s">
        <v>839</v>
      </c>
      <c r="C118" s="67" t="s">
        <v>744</v>
      </c>
      <c r="D118" s="68">
        <v>10</v>
      </c>
      <c r="E118" s="69"/>
      <c r="F118" s="70">
        <v>20</v>
      </c>
      <c r="G118" s="67"/>
      <c r="H118" s="71"/>
      <c r="I118" s="72"/>
      <c r="J118" s="72"/>
      <c r="K118" s="34" t="s">
        <v>65</v>
      </c>
      <c r="L118" s="79">
        <v>118</v>
      </c>
      <c r="M118" s="79"/>
      <c r="N118" s="74"/>
      <c r="O118" s="90" t="s">
        <v>322</v>
      </c>
      <c r="P118" s="90" t="s">
        <v>324</v>
      </c>
      <c r="Q118" s="90" t="s">
        <v>991</v>
      </c>
      <c r="R118" s="90" t="s">
        <v>824</v>
      </c>
      <c r="S118" s="90" t="s">
        <v>1131</v>
      </c>
      <c r="T118" s="93" t="str">
        <f>HYPERLINK("http://www.youtube.com/channel/UCuFOndAULZ3uyRBasI9ahpg")</f>
        <v>http://www.youtube.com/channel/UCuFOndAULZ3uyRBasI9ahpg</v>
      </c>
      <c r="U118" s="90" t="s">
        <v>1201</v>
      </c>
      <c r="V118" s="90" t="s">
        <v>1227</v>
      </c>
      <c r="W118" s="93" t="str">
        <f>HYPERLINK("https://www.youtube.com/watch?v=")</f>
        <v>https://www.youtube.com/watch?v=</v>
      </c>
      <c r="X118" s="90" t="s">
        <v>326</v>
      </c>
      <c r="Y118" s="90">
        <v>0</v>
      </c>
      <c r="Z118" s="96">
        <v>43912.825474537036</v>
      </c>
      <c r="AA118" s="96">
        <v>43912.825474537036</v>
      </c>
      <c r="AB118" s="90"/>
      <c r="AC118" s="90"/>
      <c r="AD118" s="90"/>
      <c r="AE118" s="90">
        <v>5</v>
      </c>
      <c r="AF118" s="89" t="str">
        <f>REPLACE(INDEX(GroupVertices[Group],MATCH(Edges[[#This Row],[Vertex 1]],GroupVertices[Vertex],0)),1,1,"")</f>
        <v>6</v>
      </c>
      <c r="AG118" s="89" t="str">
        <f>REPLACE(INDEX(GroupVertices[Group],MATCH(Edges[[#This Row],[Vertex 2]],GroupVertices[Vertex],0)),1,1,"")</f>
        <v>6</v>
      </c>
      <c r="AH118" s="48">
        <v>0</v>
      </c>
      <c r="AI118" s="49">
        <v>0</v>
      </c>
      <c r="AJ118" s="48">
        <v>0</v>
      </c>
      <c r="AK118" s="49">
        <v>0</v>
      </c>
      <c r="AL118" s="48">
        <v>0</v>
      </c>
      <c r="AM118" s="49">
        <v>0</v>
      </c>
      <c r="AN118" s="48">
        <v>9</v>
      </c>
      <c r="AO118" s="49">
        <v>100</v>
      </c>
      <c r="AP118" s="48">
        <v>9</v>
      </c>
    </row>
    <row r="119" spans="1:42" ht="15">
      <c r="A119" s="66" t="s">
        <v>824</v>
      </c>
      <c r="B119" s="66" t="s">
        <v>839</v>
      </c>
      <c r="C119" s="67" t="s">
        <v>744</v>
      </c>
      <c r="D119" s="68">
        <v>10</v>
      </c>
      <c r="E119" s="69"/>
      <c r="F119" s="70">
        <v>20</v>
      </c>
      <c r="G119" s="67"/>
      <c r="H119" s="71"/>
      <c r="I119" s="72"/>
      <c r="J119" s="72"/>
      <c r="K119" s="34" t="s">
        <v>65</v>
      </c>
      <c r="L119" s="79">
        <v>119</v>
      </c>
      <c r="M119" s="79"/>
      <c r="N119" s="74"/>
      <c r="O119" s="90" t="s">
        <v>322</v>
      </c>
      <c r="P119" s="90" t="s">
        <v>324</v>
      </c>
      <c r="Q119" s="90" t="s">
        <v>992</v>
      </c>
      <c r="R119" s="90" t="s">
        <v>824</v>
      </c>
      <c r="S119" s="90" t="s">
        <v>1131</v>
      </c>
      <c r="T119" s="93" t="str">
        <f>HYPERLINK("http://www.youtube.com/channel/UCuFOndAULZ3uyRBasI9ahpg")</f>
        <v>http://www.youtube.com/channel/UCuFOndAULZ3uyRBasI9ahpg</v>
      </c>
      <c r="U119" s="90" t="s">
        <v>1201</v>
      </c>
      <c r="V119" s="90" t="s">
        <v>1227</v>
      </c>
      <c r="W119" s="93" t="str">
        <f>HYPERLINK("https://www.youtube.com/watch?v=")</f>
        <v>https://www.youtube.com/watch?v=</v>
      </c>
      <c r="X119" s="90" t="s">
        <v>326</v>
      </c>
      <c r="Y119" s="90">
        <v>0</v>
      </c>
      <c r="Z119" s="96">
        <v>43912.832916666666</v>
      </c>
      <c r="AA119" s="96">
        <v>43912.832916666666</v>
      </c>
      <c r="AB119" s="90"/>
      <c r="AC119" s="90"/>
      <c r="AD119" s="90"/>
      <c r="AE119" s="90">
        <v>5</v>
      </c>
      <c r="AF119" s="89" t="str">
        <f>REPLACE(INDEX(GroupVertices[Group],MATCH(Edges[[#This Row],[Vertex 1]],GroupVertices[Vertex],0)),1,1,"")</f>
        <v>6</v>
      </c>
      <c r="AG119" s="89" t="str">
        <f>REPLACE(INDEX(GroupVertices[Group],MATCH(Edges[[#This Row],[Vertex 2]],GroupVertices[Vertex],0)),1,1,"")</f>
        <v>6</v>
      </c>
      <c r="AH119" s="48">
        <v>0</v>
      </c>
      <c r="AI119" s="49">
        <v>0</v>
      </c>
      <c r="AJ119" s="48">
        <v>0</v>
      </c>
      <c r="AK119" s="49">
        <v>0</v>
      </c>
      <c r="AL119" s="48">
        <v>0</v>
      </c>
      <c r="AM119" s="49">
        <v>0</v>
      </c>
      <c r="AN119" s="48">
        <v>30</v>
      </c>
      <c r="AO119" s="49">
        <v>100</v>
      </c>
      <c r="AP119" s="48">
        <v>30</v>
      </c>
    </row>
    <row r="120" spans="1:42" ht="15">
      <c r="A120" s="66" t="s">
        <v>824</v>
      </c>
      <c r="B120" s="66" t="s">
        <v>839</v>
      </c>
      <c r="C120" s="67" t="s">
        <v>744</v>
      </c>
      <c r="D120" s="68">
        <v>10</v>
      </c>
      <c r="E120" s="69"/>
      <c r="F120" s="70">
        <v>20</v>
      </c>
      <c r="G120" s="67"/>
      <c r="H120" s="71"/>
      <c r="I120" s="72"/>
      <c r="J120" s="72"/>
      <c r="K120" s="34" t="s">
        <v>65</v>
      </c>
      <c r="L120" s="79">
        <v>120</v>
      </c>
      <c r="M120" s="79"/>
      <c r="N120" s="74"/>
      <c r="O120" s="90" t="s">
        <v>322</v>
      </c>
      <c r="P120" s="90" t="s">
        <v>324</v>
      </c>
      <c r="Q120" s="90" t="s">
        <v>993</v>
      </c>
      <c r="R120" s="90" t="s">
        <v>824</v>
      </c>
      <c r="S120" s="90" t="s">
        <v>1131</v>
      </c>
      <c r="T120" s="93" t="str">
        <f>HYPERLINK("http://www.youtube.com/channel/UCuFOndAULZ3uyRBasI9ahpg")</f>
        <v>http://www.youtube.com/channel/UCuFOndAULZ3uyRBasI9ahpg</v>
      </c>
      <c r="U120" s="90" t="s">
        <v>1201</v>
      </c>
      <c r="V120" s="90" t="s">
        <v>1227</v>
      </c>
      <c r="W120" s="93" t="str">
        <f>HYPERLINK("https://www.youtube.com/watch?v=")</f>
        <v>https://www.youtube.com/watch?v=</v>
      </c>
      <c r="X120" s="90" t="s">
        <v>326</v>
      </c>
      <c r="Y120" s="90">
        <v>0</v>
      </c>
      <c r="Z120" s="96">
        <v>43912.857037037036</v>
      </c>
      <c r="AA120" s="96">
        <v>43912.857037037036</v>
      </c>
      <c r="AB120" s="90"/>
      <c r="AC120" s="90"/>
      <c r="AD120" s="90"/>
      <c r="AE120" s="90">
        <v>5</v>
      </c>
      <c r="AF120" s="89" t="str">
        <f>REPLACE(INDEX(GroupVertices[Group],MATCH(Edges[[#This Row],[Vertex 1]],GroupVertices[Vertex],0)),1,1,"")</f>
        <v>6</v>
      </c>
      <c r="AG120" s="89" t="str">
        <f>REPLACE(INDEX(GroupVertices[Group],MATCH(Edges[[#This Row],[Vertex 2]],GroupVertices[Vertex],0)),1,1,"")</f>
        <v>6</v>
      </c>
      <c r="AH120" s="48">
        <v>4</v>
      </c>
      <c r="AI120" s="49">
        <v>8.16326530612245</v>
      </c>
      <c r="AJ120" s="48">
        <v>1</v>
      </c>
      <c r="AK120" s="49">
        <v>2.0408163265306123</v>
      </c>
      <c r="AL120" s="48">
        <v>0</v>
      </c>
      <c r="AM120" s="49">
        <v>0</v>
      </c>
      <c r="AN120" s="48">
        <v>44</v>
      </c>
      <c r="AO120" s="49">
        <v>89.79591836734694</v>
      </c>
      <c r="AP120" s="48">
        <v>49</v>
      </c>
    </row>
    <row r="121" spans="1:42" ht="15">
      <c r="A121" s="66" t="s">
        <v>838</v>
      </c>
      <c r="B121" s="66" t="s">
        <v>839</v>
      </c>
      <c r="C121" s="67" t="s">
        <v>744</v>
      </c>
      <c r="D121" s="68">
        <v>10</v>
      </c>
      <c r="E121" s="69"/>
      <c r="F121" s="70">
        <v>20</v>
      </c>
      <c r="G121" s="67"/>
      <c r="H121" s="71"/>
      <c r="I121" s="72"/>
      <c r="J121" s="72"/>
      <c r="K121" s="34" t="s">
        <v>65</v>
      </c>
      <c r="L121" s="79">
        <v>121</v>
      </c>
      <c r="M121" s="79"/>
      <c r="N121" s="74"/>
      <c r="O121" s="90" t="s">
        <v>322</v>
      </c>
      <c r="P121" s="90" t="s">
        <v>324</v>
      </c>
      <c r="Q121" s="90" t="s">
        <v>994</v>
      </c>
      <c r="R121" s="90" t="s">
        <v>838</v>
      </c>
      <c r="S121" s="90" t="s">
        <v>1145</v>
      </c>
      <c r="T121" s="93" t="str">
        <f>HYPERLINK("http://www.youtube.com/channel/UCZZSzZTvNoIpziLJhr4_2Hg")</f>
        <v>http://www.youtube.com/channel/UCZZSzZTvNoIpziLJhr4_2Hg</v>
      </c>
      <c r="U121" s="90" t="s">
        <v>1201</v>
      </c>
      <c r="V121" s="90" t="s">
        <v>1227</v>
      </c>
      <c r="W121" s="93" t="str">
        <f>HYPERLINK("https://www.youtube.com/watch?v=")</f>
        <v>https://www.youtube.com/watch?v=</v>
      </c>
      <c r="X121" s="90" t="s">
        <v>326</v>
      </c>
      <c r="Y121" s="90">
        <v>0</v>
      </c>
      <c r="Z121" s="96">
        <v>43912.71052083333</v>
      </c>
      <c r="AA121" s="96">
        <v>43912.71052083333</v>
      </c>
      <c r="AB121" s="90"/>
      <c r="AC121" s="90"/>
      <c r="AD121" s="90"/>
      <c r="AE121" s="90">
        <v>2</v>
      </c>
      <c r="AF121" s="89" t="str">
        <f>REPLACE(INDEX(GroupVertices[Group],MATCH(Edges[[#This Row],[Vertex 1]],GroupVertices[Vertex],0)),1,1,"")</f>
        <v>6</v>
      </c>
      <c r="AG121" s="89" t="str">
        <f>REPLACE(INDEX(GroupVertices[Group],MATCH(Edges[[#This Row],[Vertex 2]],GroupVertices[Vertex],0)),1,1,"")</f>
        <v>6</v>
      </c>
      <c r="AH121" s="48">
        <v>0</v>
      </c>
      <c r="AI121" s="49">
        <v>0</v>
      </c>
      <c r="AJ121" s="48">
        <v>0</v>
      </c>
      <c r="AK121" s="49">
        <v>0</v>
      </c>
      <c r="AL121" s="48">
        <v>0</v>
      </c>
      <c r="AM121" s="49">
        <v>0</v>
      </c>
      <c r="AN121" s="48">
        <v>5</v>
      </c>
      <c r="AO121" s="49">
        <v>100</v>
      </c>
      <c r="AP121" s="48">
        <v>5</v>
      </c>
    </row>
    <row r="122" spans="1:42" ht="15">
      <c r="A122" s="66" t="s">
        <v>838</v>
      </c>
      <c r="B122" s="66" t="s">
        <v>839</v>
      </c>
      <c r="C122" s="67" t="s">
        <v>744</v>
      </c>
      <c r="D122" s="68">
        <v>10</v>
      </c>
      <c r="E122" s="69"/>
      <c r="F122" s="70">
        <v>20</v>
      </c>
      <c r="G122" s="67"/>
      <c r="H122" s="71"/>
      <c r="I122" s="72"/>
      <c r="J122" s="72"/>
      <c r="K122" s="34" t="s">
        <v>65</v>
      </c>
      <c r="L122" s="79">
        <v>122</v>
      </c>
      <c r="M122" s="79"/>
      <c r="N122" s="74"/>
      <c r="O122" s="90" t="s">
        <v>322</v>
      </c>
      <c r="P122" s="90" t="s">
        <v>324</v>
      </c>
      <c r="Q122" s="90" t="s">
        <v>995</v>
      </c>
      <c r="R122" s="90" t="s">
        <v>838</v>
      </c>
      <c r="S122" s="90" t="s">
        <v>1145</v>
      </c>
      <c r="T122" s="93" t="str">
        <f>HYPERLINK("http://www.youtube.com/channel/UCZZSzZTvNoIpziLJhr4_2Hg")</f>
        <v>http://www.youtube.com/channel/UCZZSzZTvNoIpziLJhr4_2Hg</v>
      </c>
      <c r="U122" s="90" t="s">
        <v>1201</v>
      </c>
      <c r="V122" s="90" t="s">
        <v>1227</v>
      </c>
      <c r="W122" s="93" t="str">
        <f>HYPERLINK("https://www.youtube.com/watch?v=")</f>
        <v>https://www.youtube.com/watch?v=</v>
      </c>
      <c r="X122" s="90" t="s">
        <v>326</v>
      </c>
      <c r="Y122" s="90">
        <v>1</v>
      </c>
      <c r="Z122" s="96">
        <v>43913.009675925925</v>
      </c>
      <c r="AA122" s="96">
        <v>43913.009675925925</v>
      </c>
      <c r="AB122" s="90"/>
      <c r="AC122" s="90"/>
      <c r="AD122" s="90"/>
      <c r="AE122" s="90">
        <v>2</v>
      </c>
      <c r="AF122" s="89" t="str">
        <f>REPLACE(INDEX(GroupVertices[Group],MATCH(Edges[[#This Row],[Vertex 1]],GroupVertices[Vertex],0)),1,1,"")</f>
        <v>6</v>
      </c>
      <c r="AG122" s="89" t="str">
        <f>REPLACE(INDEX(GroupVertices[Group],MATCH(Edges[[#This Row],[Vertex 2]],GroupVertices[Vertex],0)),1,1,"")</f>
        <v>6</v>
      </c>
      <c r="AH122" s="48">
        <v>0</v>
      </c>
      <c r="AI122" s="49">
        <v>0</v>
      </c>
      <c r="AJ122" s="48">
        <v>0</v>
      </c>
      <c r="AK122" s="49">
        <v>0</v>
      </c>
      <c r="AL122" s="48">
        <v>0</v>
      </c>
      <c r="AM122" s="49">
        <v>0</v>
      </c>
      <c r="AN122" s="48">
        <v>17</v>
      </c>
      <c r="AO122" s="49">
        <v>100</v>
      </c>
      <c r="AP122" s="48">
        <v>17</v>
      </c>
    </row>
    <row r="123" spans="1:42" ht="15">
      <c r="A123" s="66" t="s">
        <v>778</v>
      </c>
      <c r="B123" s="66" t="s">
        <v>839</v>
      </c>
      <c r="C123" s="67" t="s">
        <v>743</v>
      </c>
      <c r="D123" s="68">
        <v>3</v>
      </c>
      <c r="E123" s="69"/>
      <c r="F123" s="70">
        <v>50</v>
      </c>
      <c r="G123" s="67"/>
      <c r="H123" s="71"/>
      <c r="I123" s="72"/>
      <c r="J123" s="72"/>
      <c r="K123" s="34" t="s">
        <v>65</v>
      </c>
      <c r="L123" s="79">
        <v>123</v>
      </c>
      <c r="M123" s="79"/>
      <c r="N123" s="74"/>
      <c r="O123" s="90" t="s">
        <v>322</v>
      </c>
      <c r="P123" s="90" t="s">
        <v>324</v>
      </c>
      <c r="Q123" s="90" t="s">
        <v>996</v>
      </c>
      <c r="R123" s="90" t="s">
        <v>778</v>
      </c>
      <c r="S123" s="90" t="s">
        <v>1085</v>
      </c>
      <c r="T123" s="93" t="str">
        <f>HYPERLINK("http://www.youtube.com/channel/UCvFvo310EFTNVcGfu0vvTPg")</f>
        <v>http://www.youtube.com/channel/UCvFvo310EFTNVcGfu0vvTPg</v>
      </c>
      <c r="U123" s="90" t="s">
        <v>1201</v>
      </c>
      <c r="V123" s="90" t="s">
        <v>1227</v>
      </c>
      <c r="W123" s="93" t="str">
        <f>HYPERLINK("https://www.youtube.com/watch?v=")</f>
        <v>https://www.youtube.com/watch?v=</v>
      </c>
      <c r="X123" s="90" t="s">
        <v>326</v>
      </c>
      <c r="Y123" s="90">
        <v>20</v>
      </c>
      <c r="Z123" s="96">
        <v>43912.52990740741</v>
      </c>
      <c r="AA123" s="96">
        <v>43912.52990740741</v>
      </c>
      <c r="AB123" s="90"/>
      <c r="AC123" s="90"/>
      <c r="AD123" s="90"/>
      <c r="AE123" s="90">
        <v>1</v>
      </c>
      <c r="AF123" s="89" t="str">
        <f>REPLACE(INDEX(GroupVertices[Group],MATCH(Edges[[#This Row],[Vertex 1]],GroupVertices[Vertex],0)),1,1,"")</f>
        <v>3</v>
      </c>
      <c r="AG123" s="89" t="str">
        <f>REPLACE(INDEX(GroupVertices[Group],MATCH(Edges[[#This Row],[Vertex 2]],GroupVertices[Vertex],0)),1,1,"")</f>
        <v>6</v>
      </c>
      <c r="AH123" s="48">
        <v>2</v>
      </c>
      <c r="AI123" s="49">
        <v>5.882352941176471</v>
      </c>
      <c r="AJ123" s="48">
        <v>0</v>
      </c>
      <c r="AK123" s="49">
        <v>0</v>
      </c>
      <c r="AL123" s="48">
        <v>0</v>
      </c>
      <c r="AM123" s="49">
        <v>0</v>
      </c>
      <c r="AN123" s="48">
        <v>32</v>
      </c>
      <c r="AO123" s="49">
        <v>94.11764705882354</v>
      </c>
      <c r="AP123" s="48">
        <v>34</v>
      </c>
    </row>
    <row r="124" spans="1:42" ht="15">
      <c r="A124" s="66" t="s">
        <v>779</v>
      </c>
      <c r="B124" s="66" t="s">
        <v>839</v>
      </c>
      <c r="C124" s="67" t="s">
        <v>743</v>
      </c>
      <c r="D124" s="68">
        <v>3</v>
      </c>
      <c r="E124" s="69"/>
      <c r="F124" s="70">
        <v>50</v>
      </c>
      <c r="G124" s="67"/>
      <c r="H124" s="71"/>
      <c r="I124" s="72"/>
      <c r="J124" s="72"/>
      <c r="K124" s="34" t="s">
        <v>65</v>
      </c>
      <c r="L124" s="79">
        <v>124</v>
      </c>
      <c r="M124" s="79"/>
      <c r="N124" s="74"/>
      <c r="O124" s="90" t="s">
        <v>322</v>
      </c>
      <c r="P124" s="90" t="s">
        <v>324</v>
      </c>
      <c r="Q124" s="90" t="s">
        <v>997</v>
      </c>
      <c r="R124" s="90" t="s">
        <v>779</v>
      </c>
      <c r="S124" s="90" t="s">
        <v>1086</v>
      </c>
      <c r="T124" s="93" t="str">
        <f>HYPERLINK("http://www.youtube.com/channel/UCcpk4DMUL77bDwnugsEEHwQ")</f>
        <v>http://www.youtube.com/channel/UCcpk4DMUL77bDwnugsEEHwQ</v>
      </c>
      <c r="U124" s="90" t="s">
        <v>1201</v>
      </c>
      <c r="V124" s="90" t="s">
        <v>1227</v>
      </c>
      <c r="W124" s="93" t="str">
        <f>HYPERLINK("https://www.youtube.com/watch?v=")</f>
        <v>https://www.youtube.com/watch?v=</v>
      </c>
      <c r="X124" s="90" t="s">
        <v>326</v>
      </c>
      <c r="Y124" s="90">
        <v>14</v>
      </c>
      <c r="Z124" s="96">
        <v>43912.54015046296</v>
      </c>
      <c r="AA124" s="96">
        <v>43912.54168981482</v>
      </c>
      <c r="AB124" s="90"/>
      <c r="AC124" s="90"/>
      <c r="AD124" s="90"/>
      <c r="AE124" s="90">
        <v>1</v>
      </c>
      <c r="AF124" s="89" t="str">
        <f>REPLACE(INDEX(GroupVertices[Group],MATCH(Edges[[#This Row],[Vertex 1]],GroupVertices[Vertex],0)),1,1,"")</f>
        <v>6</v>
      </c>
      <c r="AG124" s="89" t="str">
        <f>REPLACE(INDEX(GroupVertices[Group],MATCH(Edges[[#This Row],[Vertex 2]],GroupVertices[Vertex],0)),1,1,"")</f>
        <v>6</v>
      </c>
      <c r="AH124" s="48">
        <v>0</v>
      </c>
      <c r="AI124" s="49">
        <v>0</v>
      </c>
      <c r="AJ124" s="48">
        <v>1</v>
      </c>
      <c r="AK124" s="49">
        <v>3.5714285714285716</v>
      </c>
      <c r="AL124" s="48">
        <v>0</v>
      </c>
      <c r="AM124" s="49">
        <v>0</v>
      </c>
      <c r="AN124" s="48">
        <v>27</v>
      </c>
      <c r="AO124" s="49">
        <v>96.42857142857143</v>
      </c>
      <c r="AP124" s="48">
        <v>28</v>
      </c>
    </row>
    <row r="125" spans="1:42" ht="15">
      <c r="A125" s="66" t="s">
        <v>839</v>
      </c>
      <c r="B125" s="66" t="s">
        <v>839</v>
      </c>
      <c r="C125" s="67" t="s">
        <v>743</v>
      </c>
      <c r="D125" s="68">
        <v>3</v>
      </c>
      <c r="E125" s="69"/>
      <c r="F125" s="70">
        <v>50</v>
      </c>
      <c r="G125" s="67"/>
      <c r="H125" s="71"/>
      <c r="I125" s="72"/>
      <c r="J125" s="72"/>
      <c r="K125" s="34" t="s">
        <v>65</v>
      </c>
      <c r="L125" s="79">
        <v>125</v>
      </c>
      <c r="M125" s="79"/>
      <c r="N125" s="74"/>
      <c r="O125" s="90" t="s">
        <v>322</v>
      </c>
      <c r="P125" s="90" t="s">
        <v>324</v>
      </c>
      <c r="Q125" s="90" t="s">
        <v>998</v>
      </c>
      <c r="R125" s="90" t="s">
        <v>839</v>
      </c>
      <c r="S125" s="90" t="s">
        <v>1146</v>
      </c>
      <c r="T125" s="93" t="str">
        <f>HYPERLINK("http://www.youtube.com/channel/UCt3qJ-f4f2XV0_8p7P0KSfA")</f>
        <v>http://www.youtube.com/channel/UCt3qJ-f4f2XV0_8p7P0KSfA</v>
      </c>
      <c r="U125" s="90" t="s">
        <v>1201</v>
      </c>
      <c r="V125" s="90" t="s">
        <v>1227</v>
      </c>
      <c r="W125" s="93" t="str">
        <f>HYPERLINK("https://www.youtube.com/watch?v=")</f>
        <v>https://www.youtube.com/watch?v=</v>
      </c>
      <c r="X125" s="90" t="s">
        <v>326</v>
      </c>
      <c r="Y125" s="90">
        <v>6</v>
      </c>
      <c r="Z125" s="96">
        <v>43912.704421296294</v>
      </c>
      <c r="AA125" s="96">
        <v>43912.704421296294</v>
      </c>
      <c r="AB125" s="90"/>
      <c r="AC125" s="90"/>
      <c r="AD125" s="90"/>
      <c r="AE125" s="90">
        <v>1</v>
      </c>
      <c r="AF125" s="89" t="str">
        <f>REPLACE(INDEX(GroupVertices[Group],MATCH(Edges[[#This Row],[Vertex 1]],GroupVertices[Vertex],0)),1,1,"")</f>
        <v>6</v>
      </c>
      <c r="AG125" s="89" t="str">
        <f>REPLACE(INDEX(GroupVertices[Group],MATCH(Edges[[#This Row],[Vertex 2]],GroupVertices[Vertex],0)),1,1,"")</f>
        <v>6</v>
      </c>
      <c r="AH125" s="48">
        <v>0</v>
      </c>
      <c r="AI125" s="49">
        <v>0</v>
      </c>
      <c r="AJ125" s="48">
        <v>1</v>
      </c>
      <c r="AK125" s="49">
        <v>2.7027027027027026</v>
      </c>
      <c r="AL125" s="48">
        <v>0</v>
      </c>
      <c r="AM125" s="49">
        <v>0</v>
      </c>
      <c r="AN125" s="48">
        <v>36</v>
      </c>
      <c r="AO125" s="49">
        <v>97.29729729729729</v>
      </c>
      <c r="AP125" s="48">
        <v>37</v>
      </c>
    </row>
    <row r="126" spans="1:42" ht="15">
      <c r="A126" s="66" t="s">
        <v>839</v>
      </c>
      <c r="B126" s="66" t="s">
        <v>876</v>
      </c>
      <c r="C126" s="67" t="s">
        <v>743</v>
      </c>
      <c r="D126" s="68">
        <v>3</v>
      </c>
      <c r="E126" s="69"/>
      <c r="F126" s="70">
        <v>50</v>
      </c>
      <c r="G126" s="67"/>
      <c r="H126" s="71"/>
      <c r="I126" s="72"/>
      <c r="J126" s="72"/>
      <c r="K126" s="34" t="s">
        <v>65</v>
      </c>
      <c r="L126" s="79">
        <v>126</v>
      </c>
      <c r="M126" s="79"/>
      <c r="N126" s="74"/>
      <c r="O126" s="90" t="s">
        <v>323</v>
      </c>
      <c r="P126" s="90" t="s">
        <v>308</v>
      </c>
      <c r="Q126" s="90" t="s">
        <v>999</v>
      </c>
      <c r="R126" s="90" t="s">
        <v>839</v>
      </c>
      <c r="S126" s="90" t="s">
        <v>1146</v>
      </c>
      <c r="T126" s="93" t="str">
        <f>HYPERLINK("http://www.youtube.com/channel/UCt3qJ-f4f2XV0_8p7P0KSfA")</f>
        <v>http://www.youtube.com/channel/UCt3qJ-f4f2XV0_8p7P0KSfA</v>
      </c>
      <c r="U126" s="90"/>
      <c r="V126" s="90" t="s">
        <v>1227</v>
      </c>
      <c r="W126" s="93" t="str">
        <f>HYPERLINK("https://www.youtube.com/watch?v=L3Ob_r4yk60")</f>
        <v>https://www.youtube.com/watch?v=L3Ob_r4yk60</v>
      </c>
      <c r="X126" s="90" t="s">
        <v>326</v>
      </c>
      <c r="Y126" s="90">
        <v>104</v>
      </c>
      <c r="Z126" s="96">
        <v>43912.48695601852</v>
      </c>
      <c r="AA126" s="96">
        <v>43912.48695601852</v>
      </c>
      <c r="AB126" s="90"/>
      <c r="AC126" s="90"/>
      <c r="AD126" s="90"/>
      <c r="AE126" s="90">
        <v>1</v>
      </c>
      <c r="AF126" s="89" t="str">
        <f>REPLACE(INDEX(GroupVertices[Group],MATCH(Edges[[#This Row],[Vertex 1]],GroupVertices[Vertex],0)),1,1,"")</f>
        <v>6</v>
      </c>
      <c r="AG126" s="89" t="str">
        <f>REPLACE(INDEX(GroupVertices[Group],MATCH(Edges[[#This Row],[Vertex 2]],GroupVertices[Vertex],0)),1,1,"")</f>
        <v>1</v>
      </c>
      <c r="AH126" s="48">
        <v>1</v>
      </c>
      <c r="AI126" s="49">
        <v>2.4390243902439024</v>
      </c>
      <c r="AJ126" s="48">
        <v>3</v>
      </c>
      <c r="AK126" s="49">
        <v>7.317073170731708</v>
      </c>
      <c r="AL126" s="48">
        <v>0</v>
      </c>
      <c r="AM126" s="49">
        <v>0</v>
      </c>
      <c r="AN126" s="48">
        <v>37</v>
      </c>
      <c r="AO126" s="49">
        <v>90.2439024390244</v>
      </c>
      <c r="AP126" s="48">
        <v>41</v>
      </c>
    </row>
    <row r="127" spans="1:42" ht="15">
      <c r="A127" s="66" t="s">
        <v>840</v>
      </c>
      <c r="B127" s="66" t="s">
        <v>841</v>
      </c>
      <c r="C127" s="67" t="s">
        <v>743</v>
      </c>
      <c r="D127" s="68">
        <v>3</v>
      </c>
      <c r="E127" s="69"/>
      <c r="F127" s="70">
        <v>50</v>
      </c>
      <c r="G127" s="67"/>
      <c r="H127" s="71"/>
      <c r="I127" s="72"/>
      <c r="J127" s="72"/>
      <c r="K127" s="34" t="s">
        <v>65</v>
      </c>
      <c r="L127" s="79">
        <v>127</v>
      </c>
      <c r="M127" s="79"/>
      <c r="N127" s="74"/>
      <c r="O127" s="90" t="s">
        <v>322</v>
      </c>
      <c r="P127" s="90" t="s">
        <v>324</v>
      </c>
      <c r="Q127" s="90" t="s">
        <v>1000</v>
      </c>
      <c r="R127" s="90" t="s">
        <v>840</v>
      </c>
      <c r="S127" s="90" t="s">
        <v>1147</v>
      </c>
      <c r="T127" s="93" t="str">
        <f>HYPERLINK("http://www.youtube.com/channel/UCQoKr6vwTGfnxZA4iU_GO2A")</f>
        <v>http://www.youtube.com/channel/UCQoKr6vwTGfnxZA4iU_GO2A</v>
      </c>
      <c r="U127" s="90" t="s">
        <v>1202</v>
      </c>
      <c r="V127" s="90" t="s">
        <v>1227</v>
      </c>
      <c r="W127" s="93" t="str">
        <f>HYPERLINK("https://www.youtube.com/watch?v=L3Ob_r4yk60")</f>
        <v>https://www.youtube.com/watch?v=L3Ob_r4yk60</v>
      </c>
      <c r="X127" s="90" t="s">
        <v>326</v>
      </c>
      <c r="Y127" s="90">
        <v>4</v>
      </c>
      <c r="Z127" s="96">
        <v>43912.58980324074</v>
      </c>
      <c r="AA127" s="96">
        <v>43912.58980324074</v>
      </c>
      <c r="AB127" s="90"/>
      <c r="AC127" s="90"/>
      <c r="AD127" s="90"/>
      <c r="AE127" s="90">
        <v>1</v>
      </c>
      <c r="AF127" s="89" t="str">
        <f>REPLACE(INDEX(GroupVertices[Group],MATCH(Edges[[#This Row],[Vertex 1]],GroupVertices[Vertex],0)),1,1,"")</f>
        <v>4</v>
      </c>
      <c r="AG127" s="89" t="str">
        <f>REPLACE(INDEX(GroupVertices[Group],MATCH(Edges[[#This Row],[Vertex 2]],GroupVertices[Vertex],0)),1,1,"")</f>
        <v>4</v>
      </c>
      <c r="AH127" s="48">
        <v>0</v>
      </c>
      <c r="AI127" s="49">
        <v>0</v>
      </c>
      <c r="AJ127" s="48">
        <v>2</v>
      </c>
      <c r="AK127" s="49">
        <v>13.333333333333334</v>
      </c>
      <c r="AL127" s="48">
        <v>0</v>
      </c>
      <c r="AM127" s="49">
        <v>0</v>
      </c>
      <c r="AN127" s="48">
        <v>13</v>
      </c>
      <c r="AO127" s="49">
        <v>86.66666666666667</v>
      </c>
      <c r="AP127" s="48">
        <v>15</v>
      </c>
    </row>
    <row r="128" spans="1:42" ht="15">
      <c r="A128" s="66" t="s">
        <v>833</v>
      </c>
      <c r="B128" s="66" t="s">
        <v>841</v>
      </c>
      <c r="C128" s="67" t="s">
        <v>743</v>
      </c>
      <c r="D128" s="68">
        <v>3</v>
      </c>
      <c r="E128" s="69"/>
      <c r="F128" s="70">
        <v>50</v>
      </c>
      <c r="G128" s="67"/>
      <c r="H128" s="71"/>
      <c r="I128" s="72"/>
      <c r="J128" s="72"/>
      <c r="K128" s="34" t="s">
        <v>65</v>
      </c>
      <c r="L128" s="79">
        <v>128</v>
      </c>
      <c r="M128" s="79"/>
      <c r="N128" s="74"/>
      <c r="O128" s="90" t="s">
        <v>322</v>
      </c>
      <c r="P128" s="90" t="s">
        <v>324</v>
      </c>
      <c r="Q128" s="90" t="s">
        <v>1001</v>
      </c>
      <c r="R128" s="90" t="s">
        <v>833</v>
      </c>
      <c r="S128" s="90" t="s">
        <v>1140</v>
      </c>
      <c r="T128" s="93" t="str">
        <f>HYPERLINK("http://www.youtube.com/channel/UCm7F1hYnkmFqIf7Ee5fx4PQ")</f>
        <v>http://www.youtube.com/channel/UCm7F1hYnkmFqIf7Ee5fx4PQ</v>
      </c>
      <c r="U128" s="90" t="s">
        <v>1202</v>
      </c>
      <c r="V128" s="90" t="s">
        <v>1227</v>
      </c>
      <c r="W128" s="93" t="str">
        <f>HYPERLINK("https://www.youtube.com/watch?v=L3Ob_r4yk60")</f>
        <v>https://www.youtube.com/watch?v=L3Ob_r4yk60</v>
      </c>
      <c r="X128" s="90" t="s">
        <v>326</v>
      </c>
      <c r="Y128" s="90">
        <v>5</v>
      </c>
      <c r="Z128" s="96">
        <v>43912.660729166666</v>
      </c>
      <c r="AA128" s="96">
        <v>43912.660729166666</v>
      </c>
      <c r="AB128" s="90"/>
      <c r="AC128" s="90"/>
      <c r="AD128" s="90"/>
      <c r="AE128" s="90">
        <v>1</v>
      </c>
      <c r="AF128" s="89" t="str">
        <f>REPLACE(INDEX(GroupVertices[Group],MATCH(Edges[[#This Row],[Vertex 1]],GroupVertices[Vertex],0)),1,1,"")</f>
        <v>4</v>
      </c>
      <c r="AG128" s="89" t="str">
        <f>REPLACE(INDEX(GroupVertices[Group],MATCH(Edges[[#This Row],[Vertex 2]],GroupVertices[Vertex],0)),1,1,"")</f>
        <v>4</v>
      </c>
      <c r="AH128" s="48">
        <v>1</v>
      </c>
      <c r="AI128" s="49">
        <v>7.6923076923076925</v>
      </c>
      <c r="AJ128" s="48">
        <v>0</v>
      </c>
      <c r="AK128" s="49">
        <v>0</v>
      </c>
      <c r="AL128" s="48">
        <v>0</v>
      </c>
      <c r="AM128" s="49">
        <v>0</v>
      </c>
      <c r="AN128" s="48">
        <v>12</v>
      </c>
      <c r="AO128" s="49">
        <v>92.3076923076923</v>
      </c>
      <c r="AP128" s="48">
        <v>13</v>
      </c>
    </row>
    <row r="129" spans="1:42" ht="15">
      <c r="A129" s="66" t="s">
        <v>841</v>
      </c>
      <c r="B129" s="66" t="s">
        <v>876</v>
      </c>
      <c r="C129" s="67" t="s">
        <v>743</v>
      </c>
      <c r="D129" s="68">
        <v>3</v>
      </c>
      <c r="E129" s="69"/>
      <c r="F129" s="70">
        <v>50</v>
      </c>
      <c r="G129" s="67"/>
      <c r="H129" s="71"/>
      <c r="I129" s="72"/>
      <c r="J129" s="72"/>
      <c r="K129" s="34" t="s">
        <v>65</v>
      </c>
      <c r="L129" s="79">
        <v>129</v>
      </c>
      <c r="M129" s="79"/>
      <c r="N129" s="74"/>
      <c r="O129" s="90" t="s">
        <v>323</v>
      </c>
      <c r="P129" s="90" t="s">
        <v>308</v>
      </c>
      <c r="Q129" s="90" t="s">
        <v>1002</v>
      </c>
      <c r="R129" s="90" t="s">
        <v>841</v>
      </c>
      <c r="S129" s="90" t="s">
        <v>1148</v>
      </c>
      <c r="T129" s="93" t="str">
        <f>HYPERLINK("http://www.youtube.com/channel/UC5wyOSu26n9JKzkBfPFxrMQ")</f>
        <v>http://www.youtube.com/channel/UC5wyOSu26n9JKzkBfPFxrMQ</v>
      </c>
      <c r="U129" s="90"/>
      <c r="V129" s="90" t="s">
        <v>1227</v>
      </c>
      <c r="W129" s="93" t="str">
        <f>HYPERLINK("https://www.youtube.com/watch?v=L3Ob_r4yk60")</f>
        <v>https://www.youtube.com/watch?v=L3Ob_r4yk60</v>
      </c>
      <c r="X129" s="90" t="s">
        <v>326</v>
      </c>
      <c r="Y129" s="90">
        <v>40</v>
      </c>
      <c r="Z129" s="96">
        <v>43912.48929398148</v>
      </c>
      <c r="AA129" s="96">
        <v>43912.48929398148</v>
      </c>
      <c r="AB129" s="90"/>
      <c r="AC129" s="90"/>
      <c r="AD129" s="90"/>
      <c r="AE129" s="90">
        <v>1</v>
      </c>
      <c r="AF129" s="89" t="str">
        <f>REPLACE(INDEX(GroupVertices[Group],MATCH(Edges[[#This Row],[Vertex 1]],GroupVertices[Vertex],0)),1,1,"")</f>
        <v>4</v>
      </c>
      <c r="AG129" s="89" t="str">
        <f>REPLACE(INDEX(GroupVertices[Group],MATCH(Edges[[#This Row],[Vertex 2]],GroupVertices[Vertex],0)),1,1,"")</f>
        <v>1</v>
      </c>
      <c r="AH129" s="48">
        <v>1</v>
      </c>
      <c r="AI129" s="49">
        <v>7.142857142857143</v>
      </c>
      <c r="AJ129" s="48">
        <v>0</v>
      </c>
      <c r="AK129" s="49">
        <v>0</v>
      </c>
      <c r="AL129" s="48">
        <v>0</v>
      </c>
      <c r="AM129" s="49">
        <v>0</v>
      </c>
      <c r="AN129" s="48">
        <v>13</v>
      </c>
      <c r="AO129" s="49">
        <v>92.85714285714286</v>
      </c>
      <c r="AP129" s="48">
        <v>14</v>
      </c>
    </row>
    <row r="130" spans="1:42" ht="15">
      <c r="A130" s="66" t="s">
        <v>778</v>
      </c>
      <c r="B130" s="66" t="s">
        <v>842</v>
      </c>
      <c r="C130" s="67" t="s">
        <v>743</v>
      </c>
      <c r="D130" s="68">
        <v>3</v>
      </c>
      <c r="E130" s="69"/>
      <c r="F130" s="70">
        <v>50</v>
      </c>
      <c r="G130" s="67"/>
      <c r="H130" s="71"/>
      <c r="I130" s="72"/>
      <c r="J130" s="72"/>
      <c r="K130" s="34" t="s">
        <v>65</v>
      </c>
      <c r="L130" s="79">
        <v>130</v>
      </c>
      <c r="M130" s="79"/>
      <c r="N130" s="74"/>
      <c r="O130" s="90" t="s">
        <v>322</v>
      </c>
      <c r="P130" s="90" t="s">
        <v>324</v>
      </c>
      <c r="Q130" s="90" t="s">
        <v>1003</v>
      </c>
      <c r="R130" s="90" t="s">
        <v>778</v>
      </c>
      <c r="S130" s="90" t="s">
        <v>1085</v>
      </c>
      <c r="T130" s="93" t="str">
        <f>HYPERLINK("http://www.youtube.com/channel/UCvFvo310EFTNVcGfu0vvTPg")</f>
        <v>http://www.youtube.com/channel/UCvFvo310EFTNVcGfu0vvTPg</v>
      </c>
      <c r="U130" s="90" t="s">
        <v>1203</v>
      </c>
      <c r="V130" s="90" t="s">
        <v>1227</v>
      </c>
      <c r="W130" s="93" t="str">
        <f>HYPERLINK("https://www.youtube.com/watch?v=L3Ob_r4yk60")</f>
        <v>https://www.youtube.com/watch?v=L3Ob_r4yk60</v>
      </c>
      <c r="X130" s="90" t="s">
        <v>326</v>
      </c>
      <c r="Y130" s="90">
        <v>1</v>
      </c>
      <c r="Z130" s="96">
        <v>43912.54111111111</v>
      </c>
      <c r="AA130" s="96">
        <v>43912.54111111111</v>
      </c>
      <c r="AB130" s="90"/>
      <c r="AC130" s="90"/>
      <c r="AD130" s="90"/>
      <c r="AE130" s="90">
        <v>1</v>
      </c>
      <c r="AF130" s="89" t="str">
        <f>REPLACE(INDEX(GroupVertices[Group],MATCH(Edges[[#This Row],[Vertex 1]],GroupVertices[Vertex],0)),1,1,"")</f>
        <v>3</v>
      </c>
      <c r="AG130" s="89" t="str">
        <f>REPLACE(INDEX(GroupVertices[Group],MATCH(Edges[[#This Row],[Vertex 2]],GroupVertices[Vertex],0)),1,1,"")</f>
        <v>3</v>
      </c>
      <c r="AH130" s="48">
        <v>1</v>
      </c>
      <c r="AI130" s="49">
        <v>3.0303030303030303</v>
      </c>
      <c r="AJ130" s="48">
        <v>0</v>
      </c>
      <c r="AK130" s="49">
        <v>0</v>
      </c>
      <c r="AL130" s="48">
        <v>0</v>
      </c>
      <c r="AM130" s="49">
        <v>0</v>
      </c>
      <c r="AN130" s="48">
        <v>32</v>
      </c>
      <c r="AO130" s="49">
        <v>96.96969696969697</v>
      </c>
      <c r="AP130" s="48">
        <v>33</v>
      </c>
    </row>
    <row r="131" spans="1:42" ht="15">
      <c r="A131" s="66" t="s">
        <v>842</v>
      </c>
      <c r="B131" s="66" t="s">
        <v>876</v>
      </c>
      <c r="C131" s="67" t="s">
        <v>743</v>
      </c>
      <c r="D131" s="68">
        <v>3</v>
      </c>
      <c r="E131" s="69"/>
      <c r="F131" s="70">
        <v>50</v>
      </c>
      <c r="G131" s="67"/>
      <c r="H131" s="71"/>
      <c r="I131" s="72"/>
      <c r="J131" s="72"/>
      <c r="K131" s="34" t="s">
        <v>65</v>
      </c>
      <c r="L131" s="79">
        <v>131</v>
      </c>
      <c r="M131" s="79"/>
      <c r="N131" s="74"/>
      <c r="O131" s="90" t="s">
        <v>323</v>
      </c>
      <c r="P131" s="90" t="s">
        <v>308</v>
      </c>
      <c r="Q131" s="90" t="s">
        <v>1004</v>
      </c>
      <c r="R131" s="90" t="s">
        <v>842</v>
      </c>
      <c r="S131" s="90" t="s">
        <v>1149</v>
      </c>
      <c r="T131" s="93" t="str">
        <f>HYPERLINK("http://www.youtube.com/channel/UCMka0q4vHGs-AHu-MNDg33Q")</f>
        <v>http://www.youtube.com/channel/UCMka0q4vHGs-AHu-MNDg33Q</v>
      </c>
      <c r="U131" s="90"/>
      <c r="V131" s="90" t="s">
        <v>1227</v>
      </c>
      <c r="W131" s="93" t="str">
        <f>HYPERLINK("https://www.youtube.com/watch?v=L3Ob_r4yk60")</f>
        <v>https://www.youtube.com/watch?v=L3Ob_r4yk60</v>
      </c>
      <c r="X131" s="90" t="s">
        <v>326</v>
      </c>
      <c r="Y131" s="90">
        <v>3</v>
      </c>
      <c r="Z131" s="96">
        <v>43912.49008101852</v>
      </c>
      <c r="AA131" s="96">
        <v>43912.490208333336</v>
      </c>
      <c r="AB131" s="90"/>
      <c r="AC131" s="90"/>
      <c r="AD131" s="90"/>
      <c r="AE131" s="90">
        <v>1</v>
      </c>
      <c r="AF131" s="89" t="str">
        <f>REPLACE(INDEX(GroupVertices[Group],MATCH(Edges[[#This Row],[Vertex 1]],GroupVertices[Vertex],0)),1,1,"")</f>
        <v>3</v>
      </c>
      <c r="AG131" s="89" t="str">
        <f>REPLACE(INDEX(GroupVertices[Group],MATCH(Edges[[#This Row],[Vertex 2]],GroupVertices[Vertex],0)),1,1,"")</f>
        <v>1</v>
      </c>
      <c r="AH131" s="48">
        <v>0</v>
      </c>
      <c r="AI131" s="49">
        <v>0</v>
      </c>
      <c r="AJ131" s="48">
        <v>1</v>
      </c>
      <c r="AK131" s="49">
        <v>16.666666666666668</v>
      </c>
      <c r="AL131" s="48">
        <v>0</v>
      </c>
      <c r="AM131" s="49">
        <v>0</v>
      </c>
      <c r="AN131" s="48">
        <v>5</v>
      </c>
      <c r="AO131" s="49">
        <v>83.33333333333333</v>
      </c>
      <c r="AP131" s="48">
        <v>6</v>
      </c>
    </row>
    <row r="132" spans="1:42" ht="15">
      <c r="A132" s="66" t="s">
        <v>813</v>
      </c>
      <c r="B132" s="66" t="s">
        <v>846</v>
      </c>
      <c r="C132" s="67" t="s">
        <v>743</v>
      </c>
      <c r="D132" s="68">
        <v>3</v>
      </c>
      <c r="E132" s="69"/>
      <c r="F132" s="70">
        <v>50</v>
      </c>
      <c r="G132" s="67"/>
      <c r="H132" s="71"/>
      <c r="I132" s="72"/>
      <c r="J132" s="72"/>
      <c r="K132" s="34" t="s">
        <v>65</v>
      </c>
      <c r="L132" s="79">
        <v>132</v>
      </c>
      <c r="M132" s="79"/>
      <c r="N132" s="74"/>
      <c r="O132" s="90" t="s">
        <v>322</v>
      </c>
      <c r="P132" s="90" t="s">
        <v>324</v>
      </c>
      <c r="Q132" s="90" t="s">
        <v>1005</v>
      </c>
      <c r="R132" s="90" t="s">
        <v>813</v>
      </c>
      <c r="S132" s="90" t="s">
        <v>1120</v>
      </c>
      <c r="T132" s="93" t="str">
        <f>HYPERLINK("http://www.youtube.com/channel/UC1wz07fnWZJCU2E6pDUHv6A")</f>
        <v>http://www.youtube.com/channel/UC1wz07fnWZJCU2E6pDUHv6A</v>
      </c>
      <c r="U132" s="90" t="s">
        <v>1204</v>
      </c>
      <c r="V132" s="90" t="s">
        <v>1227</v>
      </c>
      <c r="W132" s="93" t="str">
        <f>HYPERLINK("https://www.youtube.com/watch?v=")</f>
        <v>https://www.youtube.com/watch?v=</v>
      </c>
      <c r="X132" s="90" t="s">
        <v>326</v>
      </c>
      <c r="Y132" s="90">
        <v>15</v>
      </c>
      <c r="Z132" s="96">
        <v>43912.512025462966</v>
      </c>
      <c r="AA132" s="96">
        <v>43912.512025462966</v>
      </c>
      <c r="AB132" s="90"/>
      <c r="AC132" s="90"/>
      <c r="AD132" s="90"/>
      <c r="AE132" s="90">
        <v>1</v>
      </c>
      <c r="AF132" s="89" t="str">
        <f>REPLACE(INDEX(GroupVertices[Group],MATCH(Edges[[#This Row],[Vertex 1]],GroupVertices[Vertex],0)),1,1,"")</f>
        <v>2</v>
      </c>
      <c r="AG132" s="89" t="str">
        <f>REPLACE(INDEX(GroupVertices[Group],MATCH(Edges[[#This Row],[Vertex 2]],GroupVertices[Vertex],0)),1,1,"")</f>
        <v>2</v>
      </c>
      <c r="AH132" s="48">
        <v>0</v>
      </c>
      <c r="AI132" s="49">
        <v>0</v>
      </c>
      <c r="AJ132" s="48">
        <v>0</v>
      </c>
      <c r="AK132" s="49">
        <v>0</v>
      </c>
      <c r="AL132" s="48">
        <v>0</v>
      </c>
      <c r="AM132" s="49">
        <v>0</v>
      </c>
      <c r="AN132" s="48">
        <v>30</v>
      </c>
      <c r="AO132" s="49">
        <v>100</v>
      </c>
      <c r="AP132" s="48">
        <v>30</v>
      </c>
    </row>
    <row r="133" spans="1:42" ht="15">
      <c r="A133" s="66" t="s">
        <v>843</v>
      </c>
      <c r="B133" s="66" t="s">
        <v>846</v>
      </c>
      <c r="C133" s="67" t="s">
        <v>743</v>
      </c>
      <c r="D133" s="68">
        <v>3</v>
      </c>
      <c r="E133" s="69"/>
      <c r="F133" s="70">
        <v>50</v>
      </c>
      <c r="G133" s="67"/>
      <c r="H133" s="71"/>
      <c r="I133" s="72"/>
      <c r="J133" s="72"/>
      <c r="K133" s="34" t="s">
        <v>65</v>
      </c>
      <c r="L133" s="79">
        <v>133</v>
      </c>
      <c r="M133" s="79"/>
      <c r="N133" s="74"/>
      <c r="O133" s="90" t="s">
        <v>322</v>
      </c>
      <c r="P133" s="90" t="s">
        <v>324</v>
      </c>
      <c r="Q133" s="90" t="s">
        <v>1006</v>
      </c>
      <c r="R133" s="90" t="s">
        <v>843</v>
      </c>
      <c r="S133" s="90" t="s">
        <v>1150</v>
      </c>
      <c r="T133" s="93" t="str">
        <f>HYPERLINK("http://www.youtube.com/channel/UCWMXGqlsz-IritD0jiw-ENg")</f>
        <v>http://www.youtube.com/channel/UCWMXGqlsz-IritD0jiw-ENg</v>
      </c>
      <c r="U133" s="90" t="s">
        <v>1204</v>
      </c>
      <c r="V133" s="90" t="s">
        <v>1227</v>
      </c>
      <c r="W133" s="93" t="str">
        <f>HYPERLINK("https://www.youtube.com/watch?v=")</f>
        <v>https://www.youtube.com/watch?v=</v>
      </c>
      <c r="X133" s="90" t="s">
        <v>326</v>
      </c>
      <c r="Y133" s="90">
        <v>13</v>
      </c>
      <c r="Z133" s="96">
        <v>43912.52340277778</v>
      </c>
      <c r="AA133" s="96">
        <v>43912.52340277778</v>
      </c>
      <c r="AB133" s="90"/>
      <c r="AC133" s="90"/>
      <c r="AD133" s="90"/>
      <c r="AE133" s="90">
        <v>1</v>
      </c>
      <c r="AF133" s="89" t="str">
        <f>REPLACE(INDEX(GroupVertices[Group],MATCH(Edges[[#This Row],[Vertex 1]],GroupVertices[Vertex],0)),1,1,"")</f>
        <v>2</v>
      </c>
      <c r="AG133" s="89" t="str">
        <f>REPLACE(INDEX(GroupVertices[Group],MATCH(Edges[[#This Row],[Vertex 2]],GroupVertices[Vertex],0)),1,1,"")</f>
        <v>2</v>
      </c>
      <c r="AH133" s="48">
        <v>3</v>
      </c>
      <c r="AI133" s="49">
        <v>3.409090909090909</v>
      </c>
      <c r="AJ133" s="48">
        <v>4</v>
      </c>
      <c r="AK133" s="49">
        <v>4.545454545454546</v>
      </c>
      <c r="AL133" s="48">
        <v>0</v>
      </c>
      <c r="AM133" s="49">
        <v>0</v>
      </c>
      <c r="AN133" s="48">
        <v>81</v>
      </c>
      <c r="AO133" s="49">
        <v>92.04545454545455</v>
      </c>
      <c r="AP133" s="48">
        <v>88</v>
      </c>
    </row>
    <row r="134" spans="1:42" ht="15">
      <c r="A134" s="66" t="s">
        <v>844</v>
      </c>
      <c r="B134" s="66" t="s">
        <v>846</v>
      </c>
      <c r="C134" s="67" t="s">
        <v>743</v>
      </c>
      <c r="D134" s="68">
        <v>3</v>
      </c>
      <c r="E134" s="69"/>
      <c r="F134" s="70">
        <v>50</v>
      </c>
      <c r="G134" s="67"/>
      <c r="H134" s="71"/>
      <c r="I134" s="72"/>
      <c r="J134" s="72"/>
      <c r="K134" s="34" t="s">
        <v>65</v>
      </c>
      <c r="L134" s="79">
        <v>134</v>
      </c>
      <c r="M134" s="79"/>
      <c r="N134" s="74"/>
      <c r="O134" s="90" t="s">
        <v>322</v>
      </c>
      <c r="P134" s="90" t="s">
        <v>324</v>
      </c>
      <c r="Q134" s="90" t="s">
        <v>1007</v>
      </c>
      <c r="R134" s="90" t="s">
        <v>844</v>
      </c>
      <c r="S134" s="90" t="s">
        <v>1151</v>
      </c>
      <c r="T134" s="93" t="str">
        <f>HYPERLINK("http://www.youtube.com/channel/UCgADIxA04eX5JqTbtiXkIBA")</f>
        <v>http://www.youtube.com/channel/UCgADIxA04eX5JqTbtiXkIBA</v>
      </c>
      <c r="U134" s="90" t="s">
        <v>1204</v>
      </c>
      <c r="V134" s="90" t="s">
        <v>1227</v>
      </c>
      <c r="W134" s="93" t="str">
        <f>HYPERLINK("https://www.youtube.com/watch?v=")</f>
        <v>https://www.youtube.com/watch?v=</v>
      </c>
      <c r="X134" s="90" t="s">
        <v>326</v>
      </c>
      <c r="Y134" s="90">
        <v>13</v>
      </c>
      <c r="Z134" s="96">
        <v>43912.55143518518</v>
      </c>
      <c r="AA134" s="96">
        <v>43912.55143518518</v>
      </c>
      <c r="AB134" s="90"/>
      <c r="AC134" s="90"/>
      <c r="AD134" s="90"/>
      <c r="AE134" s="90">
        <v>1</v>
      </c>
      <c r="AF134" s="89" t="str">
        <f>REPLACE(INDEX(GroupVertices[Group],MATCH(Edges[[#This Row],[Vertex 1]],GroupVertices[Vertex],0)),1,1,"")</f>
        <v>2</v>
      </c>
      <c r="AG134" s="89" t="str">
        <f>REPLACE(INDEX(GroupVertices[Group],MATCH(Edges[[#This Row],[Vertex 2]],GroupVertices[Vertex],0)),1,1,"")</f>
        <v>2</v>
      </c>
      <c r="AH134" s="48">
        <v>2</v>
      </c>
      <c r="AI134" s="49">
        <v>2.5</v>
      </c>
      <c r="AJ134" s="48">
        <v>3</v>
      </c>
      <c r="AK134" s="49">
        <v>3.75</v>
      </c>
      <c r="AL134" s="48">
        <v>0</v>
      </c>
      <c r="AM134" s="49">
        <v>0</v>
      </c>
      <c r="AN134" s="48">
        <v>75</v>
      </c>
      <c r="AO134" s="49">
        <v>93.75</v>
      </c>
      <c r="AP134" s="48">
        <v>80</v>
      </c>
    </row>
    <row r="135" spans="1:42" ht="15">
      <c r="A135" s="66" t="s">
        <v>828</v>
      </c>
      <c r="B135" s="66" t="s">
        <v>846</v>
      </c>
      <c r="C135" s="67" t="s">
        <v>744</v>
      </c>
      <c r="D135" s="68">
        <v>10</v>
      </c>
      <c r="E135" s="69"/>
      <c r="F135" s="70">
        <v>20</v>
      </c>
      <c r="G135" s="67"/>
      <c r="H135" s="71"/>
      <c r="I135" s="72"/>
      <c r="J135" s="72"/>
      <c r="K135" s="34" t="s">
        <v>65</v>
      </c>
      <c r="L135" s="79">
        <v>135</v>
      </c>
      <c r="M135" s="79"/>
      <c r="N135" s="74"/>
      <c r="O135" s="90" t="s">
        <v>322</v>
      </c>
      <c r="P135" s="90" t="s">
        <v>324</v>
      </c>
      <c r="Q135" s="90" t="s">
        <v>1008</v>
      </c>
      <c r="R135" s="90" t="s">
        <v>828</v>
      </c>
      <c r="S135" s="90" t="s">
        <v>1135</v>
      </c>
      <c r="T135" s="93" t="str">
        <f>HYPERLINK("http://www.youtube.com/channel/UCxLES-3tK4vhQ8cLIIm7sYA")</f>
        <v>http://www.youtube.com/channel/UCxLES-3tK4vhQ8cLIIm7sYA</v>
      </c>
      <c r="U135" s="90" t="s">
        <v>1204</v>
      </c>
      <c r="V135" s="90" t="s">
        <v>1227</v>
      </c>
      <c r="W135" s="93" t="str">
        <f>HYPERLINK("https://www.youtube.com/watch?v=")</f>
        <v>https://www.youtube.com/watch?v=</v>
      </c>
      <c r="X135" s="90" t="s">
        <v>326</v>
      </c>
      <c r="Y135" s="90">
        <v>1</v>
      </c>
      <c r="Z135" s="96">
        <v>43912.59869212963</v>
      </c>
      <c r="AA135" s="96">
        <v>43912.59869212963</v>
      </c>
      <c r="AB135" s="90"/>
      <c r="AC135" s="90"/>
      <c r="AD135" s="90"/>
      <c r="AE135" s="90">
        <v>2</v>
      </c>
      <c r="AF135" s="89" t="str">
        <f>REPLACE(INDEX(GroupVertices[Group],MATCH(Edges[[#This Row],[Vertex 1]],GroupVertices[Vertex],0)),1,1,"")</f>
        <v>2</v>
      </c>
      <c r="AG135" s="89" t="str">
        <f>REPLACE(INDEX(GroupVertices[Group],MATCH(Edges[[#This Row],[Vertex 2]],GroupVertices[Vertex],0)),1,1,"")</f>
        <v>2</v>
      </c>
      <c r="AH135" s="48">
        <v>0</v>
      </c>
      <c r="AI135" s="49">
        <v>0</v>
      </c>
      <c r="AJ135" s="48">
        <v>0</v>
      </c>
      <c r="AK135" s="49">
        <v>0</v>
      </c>
      <c r="AL135" s="48">
        <v>0</v>
      </c>
      <c r="AM135" s="49">
        <v>0</v>
      </c>
      <c r="AN135" s="48">
        <v>47</v>
      </c>
      <c r="AO135" s="49">
        <v>100</v>
      </c>
      <c r="AP135" s="48">
        <v>47</v>
      </c>
    </row>
    <row r="136" spans="1:42" ht="15">
      <c r="A136" s="66" t="s">
        <v>828</v>
      </c>
      <c r="B136" s="66" t="s">
        <v>846</v>
      </c>
      <c r="C136" s="67" t="s">
        <v>744</v>
      </c>
      <c r="D136" s="68">
        <v>10</v>
      </c>
      <c r="E136" s="69"/>
      <c r="F136" s="70">
        <v>20</v>
      </c>
      <c r="G136" s="67"/>
      <c r="H136" s="71"/>
      <c r="I136" s="72"/>
      <c r="J136" s="72"/>
      <c r="K136" s="34" t="s">
        <v>65</v>
      </c>
      <c r="L136" s="79">
        <v>136</v>
      </c>
      <c r="M136" s="79"/>
      <c r="N136" s="74"/>
      <c r="O136" s="90" t="s">
        <v>322</v>
      </c>
      <c r="P136" s="90" t="s">
        <v>324</v>
      </c>
      <c r="Q136" s="90" t="s">
        <v>1009</v>
      </c>
      <c r="R136" s="90" t="s">
        <v>828</v>
      </c>
      <c r="S136" s="90" t="s">
        <v>1135</v>
      </c>
      <c r="T136" s="93" t="str">
        <f>HYPERLINK("http://www.youtube.com/channel/UCxLES-3tK4vhQ8cLIIm7sYA")</f>
        <v>http://www.youtube.com/channel/UCxLES-3tK4vhQ8cLIIm7sYA</v>
      </c>
      <c r="U136" s="90" t="s">
        <v>1204</v>
      </c>
      <c r="V136" s="90" t="s">
        <v>1227</v>
      </c>
      <c r="W136" s="93" t="str">
        <f>HYPERLINK("https://www.youtube.com/watch?v=")</f>
        <v>https://www.youtube.com/watch?v=</v>
      </c>
      <c r="X136" s="90" t="s">
        <v>326</v>
      </c>
      <c r="Y136" s="90">
        <v>1</v>
      </c>
      <c r="Z136" s="96">
        <v>43912.599907407406</v>
      </c>
      <c r="AA136" s="96">
        <v>43912.599907407406</v>
      </c>
      <c r="AB136" s="90"/>
      <c r="AC136" s="90"/>
      <c r="AD136" s="90"/>
      <c r="AE136" s="90">
        <v>2</v>
      </c>
      <c r="AF136" s="89" t="str">
        <f>REPLACE(INDEX(GroupVertices[Group],MATCH(Edges[[#This Row],[Vertex 1]],GroupVertices[Vertex],0)),1,1,"")</f>
        <v>2</v>
      </c>
      <c r="AG136" s="89" t="str">
        <f>REPLACE(INDEX(GroupVertices[Group],MATCH(Edges[[#This Row],[Vertex 2]],GroupVertices[Vertex],0)),1,1,"")</f>
        <v>2</v>
      </c>
      <c r="AH136" s="48">
        <v>0</v>
      </c>
      <c r="AI136" s="49">
        <v>0</v>
      </c>
      <c r="AJ136" s="48">
        <v>1</v>
      </c>
      <c r="AK136" s="49">
        <v>5</v>
      </c>
      <c r="AL136" s="48">
        <v>0</v>
      </c>
      <c r="AM136" s="49">
        <v>0</v>
      </c>
      <c r="AN136" s="48">
        <v>19</v>
      </c>
      <c r="AO136" s="49">
        <v>95</v>
      </c>
      <c r="AP136" s="48">
        <v>20</v>
      </c>
    </row>
    <row r="137" spans="1:42" ht="15">
      <c r="A137" s="66" t="s">
        <v>845</v>
      </c>
      <c r="B137" s="66" t="s">
        <v>846</v>
      </c>
      <c r="C137" s="67" t="s">
        <v>743</v>
      </c>
      <c r="D137" s="68">
        <v>3</v>
      </c>
      <c r="E137" s="69"/>
      <c r="F137" s="70">
        <v>50</v>
      </c>
      <c r="G137" s="67"/>
      <c r="H137" s="71"/>
      <c r="I137" s="72"/>
      <c r="J137" s="72"/>
      <c r="K137" s="34" t="s">
        <v>65</v>
      </c>
      <c r="L137" s="79">
        <v>137</v>
      </c>
      <c r="M137" s="79"/>
      <c r="N137" s="74"/>
      <c r="O137" s="90" t="s">
        <v>322</v>
      </c>
      <c r="P137" s="90" t="s">
        <v>324</v>
      </c>
      <c r="Q137" s="90" t="s">
        <v>1010</v>
      </c>
      <c r="R137" s="90" t="s">
        <v>845</v>
      </c>
      <c r="S137" s="90" t="s">
        <v>1152</v>
      </c>
      <c r="T137" s="93" t="str">
        <f>HYPERLINK("http://www.youtube.com/channel/UCWo-NV8TV7NgAoRgvvuu0Fg")</f>
        <v>http://www.youtube.com/channel/UCWo-NV8TV7NgAoRgvvuu0Fg</v>
      </c>
      <c r="U137" s="90" t="s">
        <v>1204</v>
      </c>
      <c r="V137" s="90" t="s">
        <v>1227</v>
      </c>
      <c r="W137" s="93" t="str">
        <f>HYPERLINK("https://www.youtube.com/watch?v=")</f>
        <v>https://www.youtube.com/watch?v=</v>
      </c>
      <c r="X137" s="90" t="s">
        <v>326</v>
      </c>
      <c r="Y137" s="90">
        <v>3</v>
      </c>
      <c r="Z137" s="96">
        <v>43912.5865625</v>
      </c>
      <c r="AA137" s="96">
        <v>43912.5865625</v>
      </c>
      <c r="AB137" s="90"/>
      <c r="AC137" s="90"/>
      <c r="AD137" s="90"/>
      <c r="AE137" s="90">
        <v>1</v>
      </c>
      <c r="AF137" s="89" t="str">
        <f>REPLACE(INDEX(GroupVertices[Group],MATCH(Edges[[#This Row],[Vertex 1]],GroupVertices[Vertex],0)),1,1,"")</f>
        <v>1</v>
      </c>
      <c r="AG137" s="89" t="str">
        <f>REPLACE(INDEX(GroupVertices[Group],MATCH(Edges[[#This Row],[Vertex 2]],GroupVertices[Vertex],0)),1,1,"")</f>
        <v>2</v>
      </c>
      <c r="AH137" s="48">
        <v>0</v>
      </c>
      <c r="AI137" s="49">
        <v>0</v>
      </c>
      <c r="AJ137" s="48">
        <v>0</v>
      </c>
      <c r="AK137" s="49">
        <v>0</v>
      </c>
      <c r="AL137" s="48">
        <v>0</v>
      </c>
      <c r="AM137" s="49">
        <v>0</v>
      </c>
      <c r="AN137" s="48">
        <v>33</v>
      </c>
      <c r="AO137" s="49">
        <v>100</v>
      </c>
      <c r="AP137" s="48">
        <v>33</v>
      </c>
    </row>
    <row r="138" spans="1:42" ht="15">
      <c r="A138" s="66" t="s">
        <v>832</v>
      </c>
      <c r="B138" s="66" t="s">
        <v>846</v>
      </c>
      <c r="C138" s="67" t="s">
        <v>743</v>
      </c>
      <c r="D138" s="68">
        <v>3</v>
      </c>
      <c r="E138" s="69"/>
      <c r="F138" s="70">
        <v>50</v>
      </c>
      <c r="G138" s="67"/>
      <c r="H138" s="71"/>
      <c r="I138" s="72"/>
      <c r="J138" s="72"/>
      <c r="K138" s="34" t="s">
        <v>65</v>
      </c>
      <c r="L138" s="79">
        <v>138</v>
      </c>
      <c r="M138" s="79"/>
      <c r="N138" s="74"/>
      <c r="O138" s="90" t="s">
        <v>322</v>
      </c>
      <c r="P138" s="90" t="s">
        <v>324</v>
      </c>
      <c r="Q138" s="90" t="s">
        <v>1011</v>
      </c>
      <c r="R138" s="90" t="s">
        <v>832</v>
      </c>
      <c r="S138" s="90" t="s">
        <v>1139</v>
      </c>
      <c r="T138" s="93" t="str">
        <f>HYPERLINK("http://www.youtube.com/channel/UCI4gPi01UDuazhDGJEVOwlg")</f>
        <v>http://www.youtube.com/channel/UCI4gPi01UDuazhDGJEVOwlg</v>
      </c>
      <c r="U138" s="90" t="s">
        <v>1204</v>
      </c>
      <c r="V138" s="90" t="s">
        <v>1227</v>
      </c>
      <c r="W138" s="93" t="str">
        <f>HYPERLINK("https://www.youtube.com/watch?v=")</f>
        <v>https://www.youtube.com/watch?v=</v>
      </c>
      <c r="X138" s="90" t="s">
        <v>326</v>
      </c>
      <c r="Y138" s="90">
        <v>0</v>
      </c>
      <c r="Z138" s="96">
        <v>43912.640914351854</v>
      </c>
      <c r="AA138" s="96">
        <v>43912.640914351854</v>
      </c>
      <c r="AB138" s="90"/>
      <c r="AC138" s="90"/>
      <c r="AD138" s="90"/>
      <c r="AE138" s="90">
        <v>1</v>
      </c>
      <c r="AF138" s="89" t="str">
        <f>REPLACE(INDEX(GroupVertices[Group],MATCH(Edges[[#This Row],[Vertex 1]],GroupVertices[Vertex],0)),1,1,"")</f>
        <v>2</v>
      </c>
      <c r="AG138" s="89" t="str">
        <f>REPLACE(INDEX(GroupVertices[Group],MATCH(Edges[[#This Row],[Vertex 2]],GroupVertices[Vertex],0)),1,1,"")</f>
        <v>2</v>
      </c>
      <c r="AH138" s="48">
        <v>3</v>
      </c>
      <c r="AI138" s="49">
        <v>7.5</v>
      </c>
      <c r="AJ138" s="48">
        <v>1</v>
      </c>
      <c r="AK138" s="49">
        <v>2.5</v>
      </c>
      <c r="AL138" s="48">
        <v>0</v>
      </c>
      <c r="AM138" s="49">
        <v>0</v>
      </c>
      <c r="AN138" s="48">
        <v>36</v>
      </c>
      <c r="AO138" s="49">
        <v>90</v>
      </c>
      <c r="AP138" s="48">
        <v>40</v>
      </c>
    </row>
    <row r="139" spans="1:42" ht="15">
      <c r="A139" s="66" t="s">
        <v>846</v>
      </c>
      <c r="B139" s="66" t="s">
        <v>876</v>
      </c>
      <c r="C139" s="67" t="s">
        <v>743</v>
      </c>
      <c r="D139" s="68">
        <v>3</v>
      </c>
      <c r="E139" s="69"/>
      <c r="F139" s="70">
        <v>50</v>
      </c>
      <c r="G139" s="67"/>
      <c r="H139" s="71"/>
      <c r="I139" s="72"/>
      <c r="J139" s="72"/>
      <c r="K139" s="34" t="s">
        <v>65</v>
      </c>
      <c r="L139" s="79">
        <v>139</v>
      </c>
      <c r="M139" s="79"/>
      <c r="N139" s="74"/>
      <c r="O139" s="90" t="s">
        <v>323</v>
      </c>
      <c r="P139" s="90" t="s">
        <v>308</v>
      </c>
      <c r="Q139" s="90" t="s">
        <v>1012</v>
      </c>
      <c r="R139" s="90" t="s">
        <v>846</v>
      </c>
      <c r="S139" s="90" t="s">
        <v>1153</v>
      </c>
      <c r="T139" s="93" t="str">
        <f>HYPERLINK("http://www.youtube.com/channel/UCmwY6lE_XK0wxESST3mKjbQ")</f>
        <v>http://www.youtube.com/channel/UCmwY6lE_XK0wxESST3mKjbQ</v>
      </c>
      <c r="U139" s="90"/>
      <c r="V139" s="90" t="s">
        <v>1227</v>
      </c>
      <c r="W139" s="93" t="str">
        <f>HYPERLINK("https://www.youtube.com/watch?v=L3Ob_r4yk60")</f>
        <v>https://www.youtube.com/watch?v=L3Ob_r4yk60</v>
      </c>
      <c r="X139" s="90" t="s">
        <v>326</v>
      </c>
      <c r="Y139" s="90">
        <v>24</v>
      </c>
      <c r="Z139" s="96">
        <v>43912.501284722224</v>
      </c>
      <c r="AA139" s="96">
        <v>43912.501284722224</v>
      </c>
      <c r="AB139" s="90"/>
      <c r="AC139" s="90"/>
      <c r="AD139" s="90"/>
      <c r="AE139" s="90">
        <v>1</v>
      </c>
      <c r="AF139" s="89" t="str">
        <f>REPLACE(INDEX(GroupVertices[Group],MATCH(Edges[[#This Row],[Vertex 1]],GroupVertices[Vertex],0)),1,1,"")</f>
        <v>2</v>
      </c>
      <c r="AG139" s="89" t="str">
        <f>REPLACE(INDEX(GroupVertices[Group],MATCH(Edges[[#This Row],[Vertex 2]],GroupVertices[Vertex],0)),1,1,"")</f>
        <v>1</v>
      </c>
      <c r="AH139" s="48">
        <v>1</v>
      </c>
      <c r="AI139" s="49">
        <v>1.694915254237288</v>
      </c>
      <c r="AJ139" s="48">
        <v>1</v>
      </c>
      <c r="AK139" s="49">
        <v>1.694915254237288</v>
      </c>
      <c r="AL139" s="48">
        <v>0</v>
      </c>
      <c r="AM139" s="49">
        <v>0</v>
      </c>
      <c r="AN139" s="48">
        <v>57</v>
      </c>
      <c r="AO139" s="49">
        <v>96.61016949152543</v>
      </c>
      <c r="AP139" s="48">
        <v>59</v>
      </c>
    </row>
    <row r="140" spans="1:42" ht="15">
      <c r="A140" s="66" t="s">
        <v>847</v>
      </c>
      <c r="B140" s="66" t="s">
        <v>850</v>
      </c>
      <c r="C140" s="67" t="s">
        <v>743</v>
      </c>
      <c r="D140" s="68">
        <v>3</v>
      </c>
      <c r="E140" s="69"/>
      <c r="F140" s="70">
        <v>50</v>
      </c>
      <c r="G140" s="67"/>
      <c r="H140" s="71"/>
      <c r="I140" s="72"/>
      <c r="J140" s="72"/>
      <c r="K140" s="34" t="s">
        <v>65</v>
      </c>
      <c r="L140" s="79">
        <v>140</v>
      </c>
      <c r="M140" s="79"/>
      <c r="N140" s="74"/>
      <c r="O140" s="90" t="s">
        <v>322</v>
      </c>
      <c r="P140" s="90" t="s">
        <v>324</v>
      </c>
      <c r="Q140" s="90" t="s">
        <v>1013</v>
      </c>
      <c r="R140" s="90" t="s">
        <v>847</v>
      </c>
      <c r="S140" s="90" t="s">
        <v>1154</v>
      </c>
      <c r="T140" s="93" t="str">
        <f>HYPERLINK("http://www.youtube.com/channel/UCuDm7IEMWAR_lgmIfeAd-lA")</f>
        <v>http://www.youtube.com/channel/UCuDm7IEMWAR_lgmIfeAd-lA</v>
      </c>
      <c r="U140" s="90" t="s">
        <v>1205</v>
      </c>
      <c r="V140" s="90" t="s">
        <v>1227</v>
      </c>
      <c r="W140" s="93" t="str">
        <f>HYPERLINK("https://www.youtube.com/watch?v=L3Ob_r4yk60")</f>
        <v>https://www.youtube.com/watch?v=L3Ob_r4yk60</v>
      </c>
      <c r="X140" s="90" t="s">
        <v>326</v>
      </c>
      <c r="Y140" s="90">
        <v>3</v>
      </c>
      <c r="Z140" s="96">
        <v>43912.57475694444</v>
      </c>
      <c r="AA140" s="96">
        <v>43912.57475694444</v>
      </c>
      <c r="AB140" s="90"/>
      <c r="AC140" s="90"/>
      <c r="AD140" s="90"/>
      <c r="AE140" s="90">
        <v>1</v>
      </c>
      <c r="AF140" s="89" t="str">
        <f>REPLACE(INDEX(GroupVertices[Group],MATCH(Edges[[#This Row],[Vertex 1]],GroupVertices[Vertex],0)),1,1,"")</f>
        <v>3</v>
      </c>
      <c r="AG140" s="89" t="str">
        <f>REPLACE(INDEX(GroupVertices[Group],MATCH(Edges[[#This Row],[Vertex 2]],GroupVertices[Vertex],0)),1,1,"")</f>
        <v>3</v>
      </c>
      <c r="AH140" s="48">
        <v>1</v>
      </c>
      <c r="AI140" s="49">
        <v>6.666666666666667</v>
      </c>
      <c r="AJ140" s="48">
        <v>1</v>
      </c>
      <c r="AK140" s="49">
        <v>6.666666666666667</v>
      </c>
      <c r="AL140" s="48">
        <v>0</v>
      </c>
      <c r="AM140" s="49">
        <v>0</v>
      </c>
      <c r="AN140" s="48">
        <v>13</v>
      </c>
      <c r="AO140" s="49">
        <v>86.66666666666667</v>
      </c>
      <c r="AP140" s="48">
        <v>15</v>
      </c>
    </row>
    <row r="141" spans="1:42" ht="15">
      <c r="A141" s="66" t="s">
        <v>778</v>
      </c>
      <c r="B141" s="66" t="s">
        <v>848</v>
      </c>
      <c r="C141" s="67" t="s">
        <v>743</v>
      </c>
      <c r="D141" s="68">
        <v>3</v>
      </c>
      <c r="E141" s="69"/>
      <c r="F141" s="70">
        <v>50</v>
      </c>
      <c r="G141" s="67"/>
      <c r="H141" s="71"/>
      <c r="I141" s="72"/>
      <c r="J141" s="72"/>
      <c r="K141" s="34" t="s">
        <v>65</v>
      </c>
      <c r="L141" s="79">
        <v>141</v>
      </c>
      <c r="M141" s="79"/>
      <c r="N141" s="74"/>
      <c r="O141" s="90" t="s">
        <v>322</v>
      </c>
      <c r="P141" s="90" t="s">
        <v>324</v>
      </c>
      <c r="Q141" s="90" t="s">
        <v>1014</v>
      </c>
      <c r="R141" s="90" t="s">
        <v>778</v>
      </c>
      <c r="S141" s="90" t="s">
        <v>1085</v>
      </c>
      <c r="T141" s="93" t="str">
        <f>HYPERLINK("http://www.youtube.com/channel/UCvFvo310EFTNVcGfu0vvTPg")</f>
        <v>http://www.youtube.com/channel/UCvFvo310EFTNVcGfu0vvTPg</v>
      </c>
      <c r="U141" s="90" t="s">
        <v>1206</v>
      </c>
      <c r="V141" s="90" t="s">
        <v>1227</v>
      </c>
      <c r="W141" s="93" t="str">
        <f>HYPERLINK("https://www.youtube.com/watch?v=L3Ob_r4yk60")</f>
        <v>https://www.youtube.com/watch?v=L3Ob_r4yk60</v>
      </c>
      <c r="X141" s="90" t="s">
        <v>326</v>
      </c>
      <c r="Y141" s="90">
        <v>1</v>
      </c>
      <c r="Z141" s="96">
        <v>43912.538449074076</v>
      </c>
      <c r="AA141" s="96">
        <v>43912.538449074076</v>
      </c>
      <c r="AB141" s="90"/>
      <c r="AC141" s="90"/>
      <c r="AD141" s="90"/>
      <c r="AE141" s="90">
        <v>1</v>
      </c>
      <c r="AF141" s="89" t="str">
        <f>REPLACE(INDEX(GroupVertices[Group],MATCH(Edges[[#This Row],[Vertex 1]],GroupVertices[Vertex],0)),1,1,"")</f>
        <v>3</v>
      </c>
      <c r="AG141" s="89" t="str">
        <f>REPLACE(INDEX(GroupVertices[Group],MATCH(Edges[[#This Row],[Vertex 2]],GroupVertices[Vertex],0)),1,1,"")</f>
        <v>3</v>
      </c>
      <c r="AH141" s="48">
        <v>0</v>
      </c>
      <c r="AI141" s="49">
        <v>0</v>
      </c>
      <c r="AJ141" s="48">
        <v>0</v>
      </c>
      <c r="AK141" s="49">
        <v>0</v>
      </c>
      <c r="AL141" s="48">
        <v>0</v>
      </c>
      <c r="AM141" s="49">
        <v>0</v>
      </c>
      <c r="AN141" s="48">
        <v>22</v>
      </c>
      <c r="AO141" s="49">
        <v>100</v>
      </c>
      <c r="AP141" s="48">
        <v>22</v>
      </c>
    </row>
    <row r="142" spans="1:42" ht="15">
      <c r="A142" s="66" t="s">
        <v>848</v>
      </c>
      <c r="B142" s="66" t="s">
        <v>876</v>
      </c>
      <c r="C142" s="67" t="s">
        <v>743</v>
      </c>
      <c r="D142" s="68">
        <v>3</v>
      </c>
      <c r="E142" s="69"/>
      <c r="F142" s="70">
        <v>50</v>
      </c>
      <c r="G142" s="67"/>
      <c r="H142" s="71"/>
      <c r="I142" s="72"/>
      <c r="J142" s="72"/>
      <c r="K142" s="34" t="s">
        <v>65</v>
      </c>
      <c r="L142" s="79">
        <v>142</v>
      </c>
      <c r="M142" s="79"/>
      <c r="N142" s="74"/>
      <c r="O142" s="90" t="s">
        <v>323</v>
      </c>
      <c r="P142" s="90" t="s">
        <v>308</v>
      </c>
      <c r="Q142" s="90" t="s">
        <v>1015</v>
      </c>
      <c r="R142" s="90" t="s">
        <v>848</v>
      </c>
      <c r="S142" s="90" t="s">
        <v>1155</v>
      </c>
      <c r="T142" s="93" t="str">
        <f>HYPERLINK("http://www.youtube.com/channel/UC3FuzRl3D9jgmPNptxrJiIA")</f>
        <v>http://www.youtube.com/channel/UC3FuzRl3D9jgmPNptxrJiIA</v>
      </c>
      <c r="U142" s="90"/>
      <c r="V142" s="90" t="s">
        <v>1227</v>
      </c>
      <c r="W142" s="93" t="str">
        <f>HYPERLINK("https://www.youtube.com/watch?v=L3Ob_r4yk60")</f>
        <v>https://www.youtube.com/watch?v=L3Ob_r4yk60</v>
      </c>
      <c r="X142" s="90" t="s">
        <v>326</v>
      </c>
      <c r="Y142" s="90">
        <v>4</v>
      </c>
      <c r="Z142" s="96">
        <v>43912.503171296295</v>
      </c>
      <c r="AA142" s="96">
        <v>43912.503171296295</v>
      </c>
      <c r="AB142" s="90"/>
      <c r="AC142" s="90"/>
      <c r="AD142" s="90"/>
      <c r="AE142" s="90">
        <v>1</v>
      </c>
      <c r="AF142" s="89" t="str">
        <f>REPLACE(INDEX(GroupVertices[Group],MATCH(Edges[[#This Row],[Vertex 1]],GroupVertices[Vertex],0)),1,1,"")</f>
        <v>3</v>
      </c>
      <c r="AG142" s="89" t="str">
        <f>REPLACE(INDEX(GroupVertices[Group],MATCH(Edges[[#This Row],[Vertex 2]],GroupVertices[Vertex],0)),1,1,"")</f>
        <v>1</v>
      </c>
      <c r="AH142" s="48">
        <v>0</v>
      </c>
      <c r="AI142" s="49">
        <v>0</v>
      </c>
      <c r="AJ142" s="48">
        <v>2</v>
      </c>
      <c r="AK142" s="49">
        <v>28.571428571428573</v>
      </c>
      <c r="AL142" s="48">
        <v>0</v>
      </c>
      <c r="AM142" s="49">
        <v>0</v>
      </c>
      <c r="AN142" s="48">
        <v>5</v>
      </c>
      <c r="AO142" s="49">
        <v>71.42857142857143</v>
      </c>
      <c r="AP142" s="48">
        <v>7</v>
      </c>
    </row>
    <row r="143" spans="1:42" ht="15">
      <c r="A143" s="66" t="s">
        <v>849</v>
      </c>
      <c r="B143" s="66" t="s">
        <v>850</v>
      </c>
      <c r="C143" s="67" t="s">
        <v>743</v>
      </c>
      <c r="D143" s="68">
        <v>3</v>
      </c>
      <c r="E143" s="69"/>
      <c r="F143" s="70">
        <v>50</v>
      </c>
      <c r="G143" s="67"/>
      <c r="H143" s="71"/>
      <c r="I143" s="72"/>
      <c r="J143" s="72"/>
      <c r="K143" s="34" t="s">
        <v>65</v>
      </c>
      <c r="L143" s="79">
        <v>143</v>
      </c>
      <c r="M143" s="79"/>
      <c r="N143" s="74"/>
      <c r="O143" s="90" t="s">
        <v>322</v>
      </c>
      <c r="P143" s="90" t="s">
        <v>324</v>
      </c>
      <c r="Q143" s="90" t="s">
        <v>1016</v>
      </c>
      <c r="R143" s="90" t="s">
        <v>849</v>
      </c>
      <c r="S143" s="90" t="s">
        <v>1156</v>
      </c>
      <c r="T143" s="93" t="str">
        <f>HYPERLINK("http://www.youtube.com/channel/UCx9C-DNiaH3FqHhf-Sruz2w")</f>
        <v>http://www.youtube.com/channel/UCx9C-DNiaH3FqHhf-Sruz2w</v>
      </c>
      <c r="U143" s="90" t="s">
        <v>1207</v>
      </c>
      <c r="V143" s="90" t="s">
        <v>1227</v>
      </c>
      <c r="W143" s="93" t="str">
        <f>HYPERLINK("https://www.youtube.com/watch?v=L3Ob_r4yk60")</f>
        <v>https://www.youtube.com/watch?v=L3Ob_r4yk60</v>
      </c>
      <c r="X143" s="90" t="s">
        <v>326</v>
      </c>
      <c r="Y143" s="90">
        <v>0</v>
      </c>
      <c r="Z143" s="96">
        <v>43912.81376157407</v>
      </c>
      <c r="AA143" s="96">
        <v>43912.81376157407</v>
      </c>
      <c r="AB143" s="90"/>
      <c r="AC143" s="90"/>
      <c r="AD143" s="90"/>
      <c r="AE143" s="90">
        <v>1</v>
      </c>
      <c r="AF143" s="89" t="str">
        <f>REPLACE(INDEX(GroupVertices[Group],MATCH(Edges[[#This Row],[Vertex 1]],GroupVertices[Vertex],0)),1,1,"")</f>
        <v>3</v>
      </c>
      <c r="AG143" s="89" t="str">
        <f>REPLACE(INDEX(GroupVertices[Group],MATCH(Edges[[#This Row],[Vertex 2]],GroupVertices[Vertex],0)),1,1,"")</f>
        <v>3</v>
      </c>
      <c r="AH143" s="48">
        <v>1</v>
      </c>
      <c r="AI143" s="49">
        <v>11.11111111111111</v>
      </c>
      <c r="AJ143" s="48">
        <v>2</v>
      </c>
      <c r="AK143" s="49">
        <v>22.22222222222222</v>
      </c>
      <c r="AL143" s="48">
        <v>0</v>
      </c>
      <c r="AM143" s="49">
        <v>0</v>
      </c>
      <c r="AN143" s="48">
        <v>6</v>
      </c>
      <c r="AO143" s="49">
        <v>66.66666666666667</v>
      </c>
      <c r="AP143" s="48">
        <v>9</v>
      </c>
    </row>
    <row r="144" spans="1:42" ht="15">
      <c r="A144" s="66" t="s">
        <v>850</v>
      </c>
      <c r="B144" s="66" t="s">
        <v>876</v>
      </c>
      <c r="C144" s="67" t="s">
        <v>744</v>
      </c>
      <c r="D144" s="68">
        <v>10</v>
      </c>
      <c r="E144" s="69"/>
      <c r="F144" s="70">
        <v>20</v>
      </c>
      <c r="G144" s="67"/>
      <c r="H144" s="71"/>
      <c r="I144" s="72"/>
      <c r="J144" s="72"/>
      <c r="K144" s="34" t="s">
        <v>65</v>
      </c>
      <c r="L144" s="79">
        <v>144</v>
      </c>
      <c r="M144" s="79"/>
      <c r="N144" s="74"/>
      <c r="O144" s="90" t="s">
        <v>323</v>
      </c>
      <c r="P144" s="90" t="s">
        <v>308</v>
      </c>
      <c r="Q144" s="90" t="s">
        <v>1017</v>
      </c>
      <c r="R144" s="90" t="s">
        <v>850</v>
      </c>
      <c r="S144" s="90" t="s">
        <v>1157</v>
      </c>
      <c r="T144" s="93" t="str">
        <f>HYPERLINK("http://www.youtube.com/channel/UCgxim1If1GRYfn0LlcNMZPw")</f>
        <v>http://www.youtube.com/channel/UCgxim1If1GRYfn0LlcNMZPw</v>
      </c>
      <c r="U144" s="90"/>
      <c r="V144" s="90" t="s">
        <v>1227</v>
      </c>
      <c r="W144" s="93" t="str">
        <f>HYPERLINK("https://www.youtube.com/watch?v=L3Ob_r4yk60")</f>
        <v>https://www.youtube.com/watch?v=L3Ob_r4yk60</v>
      </c>
      <c r="X144" s="90" t="s">
        <v>326</v>
      </c>
      <c r="Y144" s="90">
        <v>43</v>
      </c>
      <c r="Z144" s="96">
        <v>43912.50244212963</v>
      </c>
      <c r="AA144" s="96">
        <v>43912.50244212963</v>
      </c>
      <c r="AB144" s="90"/>
      <c r="AC144" s="90"/>
      <c r="AD144" s="90"/>
      <c r="AE144" s="90">
        <v>2</v>
      </c>
      <c r="AF144" s="89" t="str">
        <f>REPLACE(INDEX(GroupVertices[Group],MATCH(Edges[[#This Row],[Vertex 1]],GroupVertices[Vertex],0)),1,1,"")</f>
        <v>3</v>
      </c>
      <c r="AG144" s="89" t="str">
        <f>REPLACE(INDEX(GroupVertices[Group],MATCH(Edges[[#This Row],[Vertex 2]],GroupVertices[Vertex],0)),1,1,"")</f>
        <v>1</v>
      </c>
      <c r="AH144" s="48">
        <v>0</v>
      </c>
      <c r="AI144" s="49">
        <v>0</v>
      </c>
      <c r="AJ144" s="48">
        <v>0</v>
      </c>
      <c r="AK144" s="49">
        <v>0</v>
      </c>
      <c r="AL144" s="48">
        <v>0</v>
      </c>
      <c r="AM144" s="49">
        <v>0</v>
      </c>
      <c r="AN144" s="48">
        <v>8</v>
      </c>
      <c r="AO144" s="49">
        <v>100</v>
      </c>
      <c r="AP144" s="48">
        <v>8</v>
      </c>
    </row>
    <row r="145" spans="1:42" ht="15">
      <c r="A145" s="66" t="s">
        <v>778</v>
      </c>
      <c r="B145" s="66" t="s">
        <v>850</v>
      </c>
      <c r="C145" s="67" t="s">
        <v>743</v>
      </c>
      <c r="D145" s="68">
        <v>3</v>
      </c>
      <c r="E145" s="69"/>
      <c r="F145" s="70">
        <v>50</v>
      </c>
      <c r="G145" s="67"/>
      <c r="H145" s="71"/>
      <c r="I145" s="72"/>
      <c r="J145" s="72"/>
      <c r="K145" s="34" t="s">
        <v>65</v>
      </c>
      <c r="L145" s="79">
        <v>145</v>
      </c>
      <c r="M145" s="79"/>
      <c r="N145" s="74"/>
      <c r="O145" s="90" t="s">
        <v>322</v>
      </c>
      <c r="P145" s="90" t="s">
        <v>324</v>
      </c>
      <c r="Q145" s="90" t="s">
        <v>1018</v>
      </c>
      <c r="R145" s="90" t="s">
        <v>778</v>
      </c>
      <c r="S145" s="90" t="s">
        <v>1085</v>
      </c>
      <c r="T145" s="93" t="str">
        <f>HYPERLINK("http://www.youtube.com/channel/UCvFvo310EFTNVcGfu0vvTPg")</f>
        <v>http://www.youtube.com/channel/UCvFvo310EFTNVcGfu0vvTPg</v>
      </c>
      <c r="U145" s="90" t="s">
        <v>1207</v>
      </c>
      <c r="V145" s="90" t="s">
        <v>1227</v>
      </c>
      <c r="W145" s="93" t="str">
        <f>HYPERLINK("https://www.youtube.com/watch?v=L3Ob_r4yk60")</f>
        <v>https://www.youtube.com/watch?v=L3Ob_r4yk60</v>
      </c>
      <c r="X145" s="90" t="s">
        <v>326</v>
      </c>
      <c r="Y145" s="90">
        <v>3</v>
      </c>
      <c r="Z145" s="96">
        <v>43912.53748842593</v>
      </c>
      <c r="AA145" s="96">
        <v>43912.53748842593</v>
      </c>
      <c r="AB145" s="90"/>
      <c r="AC145" s="90"/>
      <c r="AD145" s="90"/>
      <c r="AE145" s="90">
        <v>1</v>
      </c>
      <c r="AF145" s="89" t="str">
        <f>REPLACE(INDEX(GroupVertices[Group],MATCH(Edges[[#This Row],[Vertex 1]],GroupVertices[Vertex],0)),1,1,"")</f>
        <v>3</v>
      </c>
      <c r="AG145" s="89" t="str">
        <f>REPLACE(INDEX(GroupVertices[Group],MATCH(Edges[[#This Row],[Vertex 2]],GroupVertices[Vertex],0)),1,1,"")</f>
        <v>3</v>
      </c>
      <c r="AH145" s="48">
        <v>0</v>
      </c>
      <c r="AI145" s="49">
        <v>0</v>
      </c>
      <c r="AJ145" s="48">
        <v>0</v>
      </c>
      <c r="AK145" s="49">
        <v>0</v>
      </c>
      <c r="AL145" s="48">
        <v>0</v>
      </c>
      <c r="AM145" s="49">
        <v>0</v>
      </c>
      <c r="AN145" s="48">
        <v>14</v>
      </c>
      <c r="AO145" s="49">
        <v>100</v>
      </c>
      <c r="AP145" s="48">
        <v>14</v>
      </c>
    </row>
    <row r="146" spans="1:42" ht="15">
      <c r="A146" s="66" t="s">
        <v>850</v>
      </c>
      <c r="B146" s="66" t="s">
        <v>876</v>
      </c>
      <c r="C146" s="67" t="s">
        <v>744</v>
      </c>
      <c r="D146" s="68">
        <v>10</v>
      </c>
      <c r="E146" s="69"/>
      <c r="F146" s="70">
        <v>20</v>
      </c>
      <c r="G146" s="67"/>
      <c r="H146" s="71"/>
      <c r="I146" s="72"/>
      <c r="J146" s="72"/>
      <c r="K146" s="34" t="s">
        <v>65</v>
      </c>
      <c r="L146" s="79">
        <v>146</v>
      </c>
      <c r="M146" s="79"/>
      <c r="N146" s="74"/>
      <c r="O146" s="90" t="s">
        <v>323</v>
      </c>
      <c r="P146" s="90" t="s">
        <v>308</v>
      </c>
      <c r="Q146" s="90" t="s">
        <v>1019</v>
      </c>
      <c r="R146" s="90" t="s">
        <v>850</v>
      </c>
      <c r="S146" s="90" t="s">
        <v>1157</v>
      </c>
      <c r="T146" s="93" t="str">
        <f>HYPERLINK("http://www.youtube.com/channel/UCgxim1If1GRYfn0LlcNMZPw")</f>
        <v>http://www.youtube.com/channel/UCgxim1If1GRYfn0LlcNMZPw</v>
      </c>
      <c r="U146" s="90"/>
      <c r="V146" s="90" t="s">
        <v>1227</v>
      </c>
      <c r="W146" s="93" t="str">
        <f>HYPERLINK("https://www.youtube.com/watch?v=L3Ob_r4yk60")</f>
        <v>https://www.youtube.com/watch?v=L3Ob_r4yk60</v>
      </c>
      <c r="X146" s="90" t="s">
        <v>326</v>
      </c>
      <c r="Y146" s="90">
        <v>25</v>
      </c>
      <c r="Z146" s="96">
        <v>43912.50528935185</v>
      </c>
      <c r="AA146" s="96">
        <v>43912.50528935185</v>
      </c>
      <c r="AB146" s="90"/>
      <c r="AC146" s="90"/>
      <c r="AD146" s="90"/>
      <c r="AE146" s="90">
        <v>2</v>
      </c>
      <c r="AF146" s="89" t="str">
        <f>REPLACE(INDEX(GroupVertices[Group],MATCH(Edges[[#This Row],[Vertex 1]],GroupVertices[Vertex],0)),1,1,"")</f>
        <v>3</v>
      </c>
      <c r="AG146" s="89" t="str">
        <f>REPLACE(INDEX(GroupVertices[Group],MATCH(Edges[[#This Row],[Vertex 2]],GroupVertices[Vertex],0)),1,1,"")</f>
        <v>1</v>
      </c>
      <c r="AH146" s="48">
        <v>1</v>
      </c>
      <c r="AI146" s="49">
        <v>7.6923076923076925</v>
      </c>
      <c r="AJ146" s="48">
        <v>1</v>
      </c>
      <c r="AK146" s="49">
        <v>7.6923076923076925</v>
      </c>
      <c r="AL146" s="48">
        <v>0</v>
      </c>
      <c r="AM146" s="49">
        <v>0</v>
      </c>
      <c r="AN146" s="48">
        <v>11</v>
      </c>
      <c r="AO146" s="49">
        <v>84.61538461538461</v>
      </c>
      <c r="AP146" s="48">
        <v>13</v>
      </c>
    </row>
    <row r="147" spans="1:42" ht="15">
      <c r="A147" s="66" t="s">
        <v>815</v>
      </c>
      <c r="B147" s="66" t="s">
        <v>851</v>
      </c>
      <c r="C147" s="67" t="s">
        <v>743</v>
      </c>
      <c r="D147" s="68">
        <v>3</v>
      </c>
      <c r="E147" s="69"/>
      <c r="F147" s="70">
        <v>50</v>
      </c>
      <c r="G147" s="67"/>
      <c r="H147" s="71"/>
      <c r="I147" s="72"/>
      <c r="J147" s="72"/>
      <c r="K147" s="34" t="s">
        <v>65</v>
      </c>
      <c r="L147" s="79">
        <v>147</v>
      </c>
      <c r="M147" s="79"/>
      <c r="N147" s="74"/>
      <c r="O147" s="90" t="s">
        <v>322</v>
      </c>
      <c r="P147" s="90" t="s">
        <v>324</v>
      </c>
      <c r="Q147" s="90" t="s">
        <v>1020</v>
      </c>
      <c r="R147" s="90" t="s">
        <v>815</v>
      </c>
      <c r="S147" s="90" t="s">
        <v>1122</v>
      </c>
      <c r="T147" s="93" t="str">
        <f>HYPERLINK("http://www.youtube.com/channel/UCBwIvSHzNL5sWjN0hcFGb2g")</f>
        <v>http://www.youtube.com/channel/UCBwIvSHzNL5sWjN0hcFGb2g</v>
      </c>
      <c r="U147" s="90" t="s">
        <v>1208</v>
      </c>
      <c r="V147" s="90" t="s">
        <v>1227</v>
      </c>
      <c r="W147" s="93" t="str">
        <f>HYPERLINK("https://www.youtube.com/watch?v=L3Ob_r4yk60")</f>
        <v>https://www.youtube.com/watch?v=L3Ob_r4yk60</v>
      </c>
      <c r="X147" s="90" t="s">
        <v>326</v>
      </c>
      <c r="Y147" s="90">
        <v>0</v>
      </c>
      <c r="Z147" s="96">
        <v>43912.72796296296</v>
      </c>
      <c r="AA147" s="96">
        <v>43912.72796296296</v>
      </c>
      <c r="AB147" s="90"/>
      <c r="AC147" s="90"/>
      <c r="AD147" s="90"/>
      <c r="AE147" s="90">
        <v>1</v>
      </c>
      <c r="AF147" s="89" t="str">
        <f>REPLACE(INDEX(GroupVertices[Group],MATCH(Edges[[#This Row],[Vertex 1]],GroupVertices[Vertex],0)),1,1,"")</f>
        <v>2</v>
      </c>
      <c r="AG147" s="89" t="str">
        <f>REPLACE(INDEX(GroupVertices[Group],MATCH(Edges[[#This Row],[Vertex 2]],GroupVertices[Vertex],0)),1,1,"")</f>
        <v>2</v>
      </c>
      <c r="AH147" s="48">
        <v>0</v>
      </c>
      <c r="AI147" s="49">
        <v>0</v>
      </c>
      <c r="AJ147" s="48">
        <v>0</v>
      </c>
      <c r="AK147" s="49">
        <v>0</v>
      </c>
      <c r="AL147" s="48">
        <v>0</v>
      </c>
      <c r="AM147" s="49">
        <v>0</v>
      </c>
      <c r="AN147" s="48">
        <v>47</v>
      </c>
      <c r="AO147" s="49">
        <v>100</v>
      </c>
      <c r="AP147" s="48">
        <v>47</v>
      </c>
    </row>
    <row r="148" spans="1:42" ht="15">
      <c r="A148" s="66" t="s">
        <v>851</v>
      </c>
      <c r="B148" s="66" t="s">
        <v>876</v>
      </c>
      <c r="C148" s="67" t="s">
        <v>743</v>
      </c>
      <c r="D148" s="68">
        <v>3</v>
      </c>
      <c r="E148" s="69"/>
      <c r="F148" s="70">
        <v>50</v>
      </c>
      <c r="G148" s="67"/>
      <c r="H148" s="71"/>
      <c r="I148" s="72"/>
      <c r="J148" s="72"/>
      <c r="K148" s="34" t="s">
        <v>65</v>
      </c>
      <c r="L148" s="79">
        <v>148</v>
      </c>
      <c r="M148" s="79"/>
      <c r="N148" s="74"/>
      <c r="O148" s="90" t="s">
        <v>323</v>
      </c>
      <c r="P148" s="90" t="s">
        <v>308</v>
      </c>
      <c r="Q148" s="90" t="s">
        <v>1021</v>
      </c>
      <c r="R148" s="90" t="s">
        <v>851</v>
      </c>
      <c r="S148" s="90" t="s">
        <v>1158</v>
      </c>
      <c r="T148" s="93" t="str">
        <f>HYPERLINK("http://www.youtube.com/channel/UCTD3T1oiITOBMSLWnOlRx9g")</f>
        <v>http://www.youtube.com/channel/UCTD3T1oiITOBMSLWnOlRx9g</v>
      </c>
      <c r="U148" s="90"/>
      <c r="V148" s="90" t="s">
        <v>1227</v>
      </c>
      <c r="W148" s="93" t="str">
        <f>HYPERLINK("https://www.youtube.com/watch?v=L3Ob_r4yk60")</f>
        <v>https://www.youtube.com/watch?v=L3Ob_r4yk60</v>
      </c>
      <c r="X148" s="90" t="s">
        <v>326</v>
      </c>
      <c r="Y148" s="90">
        <v>4</v>
      </c>
      <c r="Z148" s="96">
        <v>43912.51190972222</v>
      </c>
      <c r="AA148" s="96">
        <v>43912.51190972222</v>
      </c>
      <c r="AB148" s="90"/>
      <c r="AC148" s="90"/>
      <c r="AD148" s="90"/>
      <c r="AE148" s="90">
        <v>1</v>
      </c>
      <c r="AF148" s="89" t="str">
        <f>REPLACE(INDEX(GroupVertices[Group],MATCH(Edges[[#This Row],[Vertex 1]],GroupVertices[Vertex],0)),1,1,"")</f>
        <v>2</v>
      </c>
      <c r="AG148" s="89" t="str">
        <f>REPLACE(INDEX(GroupVertices[Group],MATCH(Edges[[#This Row],[Vertex 2]],GroupVertices[Vertex],0)),1,1,"")</f>
        <v>1</v>
      </c>
      <c r="AH148" s="48">
        <v>2</v>
      </c>
      <c r="AI148" s="49">
        <v>4.081632653061225</v>
      </c>
      <c r="AJ148" s="48">
        <v>2</v>
      </c>
      <c r="AK148" s="49">
        <v>4.081632653061225</v>
      </c>
      <c r="AL148" s="48">
        <v>0</v>
      </c>
      <c r="AM148" s="49">
        <v>0</v>
      </c>
      <c r="AN148" s="48">
        <v>45</v>
      </c>
      <c r="AO148" s="49">
        <v>91.83673469387755</v>
      </c>
      <c r="AP148" s="48">
        <v>49</v>
      </c>
    </row>
    <row r="149" spans="1:42" ht="15">
      <c r="A149" s="66" t="s">
        <v>795</v>
      </c>
      <c r="B149" s="66" t="s">
        <v>852</v>
      </c>
      <c r="C149" s="67" t="s">
        <v>743</v>
      </c>
      <c r="D149" s="68">
        <v>3</v>
      </c>
      <c r="E149" s="69"/>
      <c r="F149" s="70">
        <v>50</v>
      </c>
      <c r="G149" s="67"/>
      <c r="H149" s="71"/>
      <c r="I149" s="72"/>
      <c r="J149" s="72"/>
      <c r="K149" s="34" t="s">
        <v>65</v>
      </c>
      <c r="L149" s="79">
        <v>149</v>
      </c>
      <c r="M149" s="79"/>
      <c r="N149" s="74"/>
      <c r="O149" s="90" t="s">
        <v>322</v>
      </c>
      <c r="P149" s="90" t="s">
        <v>324</v>
      </c>
      <c r="Q149" s="90" t="s">
        <v>1022</v>
      </c>
      <c r="R149" s="90" t="s">
        <v>795</v>
      </c>
      <c r="S149" s="90" t="s">
        <v>1102</v>
      </c>
      <c r="T149" s="93" t="str">
        <f>HYPERLINK("http://www.youtube.com/channel/UCwLvX1xSEvRJ0HxWIRIu6-g")</f>
        <v>http://www.youtube.com/channel/UCwLvX1xSEvRJ0HxWIRIu6-g</v>
      </c>
      <c r="U149" s="90" t="s">
        <v>1209</v>
      </c>
      <c r="V149" s="90" t="s">
        <v>1227</v>
      </c>
      <c r="W149" s="93" t="str">
        <f>HYPERLINK("https://www.youtube.com/watch?v=L3Ob_r4yk60")</f>
        <v>https://www.youtube.com/watch?v=L3Ob_r4yk60</v>
      </c>
      <c r="X149" s="90" t="s">
        <v>326</v>
      </c>
      <c r="Y149" s="90">
        <v>1</v>
      </c>
      <c r="Z149" s="96">
        <v>43914.12125</v>
      </c>
      <c r="AA149" s="96">
        <v>43914.12125</v>
      </c>
      <c r="AB149" s="90"/>
      <c r="AC149" s="90"/>
      <c r="AD149" s="90"/>
      <c r="AE149" s="90">
        <v>1</v>
      </c>
      <c r="AF149" s="89" t="str">
        <f>REPLACE(INDEX(GroupVertices[Group],MATCH(Edges[[#This Row],[Vertex 1]],GroupVertices[Vertex],0)),1,1,"")</f>
        <v>1</v>
      </c>
      <c r="AG149" s="89" t="str">
        <f>REPLACE(INDEX(GroupVertices[Group],MATCH(Edges[[#This Row],[Vertex 2]],GroupVertices[Vertex],0)),1,1,"")</f>
        <v>1</v>
      </c>
      <c r="AH149" s="48">
        <v>0</v>
      </c>
      <c r="AI149" s="49">
        <v>0</v>
      </c>
      <c r="AJ149" s="48">
        <v>3</v>
      </c>
      <c r="AK149" s="49">
        <v>3.896103896103896</v>
      </c>
      <c r="AL149" s="48">
        <v>0</v>
      </c>
      <c r="AM149" s="49">
        <v>0</v>
      </c>
      <c r="AN149" s="48">
        <v>74</v>
      </c>
      <c r="AO149" s="49">
        <v>96.1038961038961</v>
      </c>
      <c r="AP149" s="48">
        <v>77</v>
      </c>
    </row>
    <row r="150" spans="1:42" ht="15">
      <c r="A150" s="66" t="s">
        <v>852</v>
      </c>
      <c r="B150" s="66" t="s">
        <v>876</v>
      </c>
      <c r="C150" s="67" t="s">
        <v>743</v>
      </c>
      <c r="D150" s="68">
        <v>3</v>
      </c>
      <c r="E150" s="69"/>
      <c r="F150" s="70">
        <v>50</v>
      </c>
      <c r="G150" s="67"/>
      <c r="H150" s="71"/>
      <c r="I150" s="72"/>
      <c r="J150" s="72"/>
      <c r="K150" s="34" t="s">
        <v>65</v>
      </c>
      <c r="L150" s="79">
        <v>150</v>
      </c>
      <c r="M150" s="79"/>
      <c r="N150" s="74"/>
      <c r="O150" s="90" t="s">
        <v>323</v>
      </c>
      <c r="P150" s="90" t="s">
        <v>308</v>
      </c>
      <c r="Q150" s="90" t="s">
        <v>1023</v>
      </c>
      <c r="R150" s="90" t="s">
        <v>852</v>
      </c>
      <c r="S150" s="90" t="s">
        <v>1159</v>
      </c>
      <c r="T150" s="93" t="str">
        <f>HYPERLINK("http://www.youtube.com/channel/UCElFOVHo3wkleRtjj2nkmoQ")</f>
        <v>http://www.youtube.com/channel/UCElFOVHo3wkleRtjj2nkmoQ</v>
      </c>
      <c r="U150" s="90"/>
      <c r="V150" s="90" t="s">
        <v>1227</v>
      </c>
      <c r="W150" s="93" t="str">
        <f>HYPERLINK("https://www.youtube.com/watch?v=L3Ob_r4yk60")</f>
        <v>https://www.youtube.com/watch?v=L3Ob_r4yk60</v>
      </c>
      <c r="X150" s="90" t="s">
        <v>326</v>
      </c>
      <c r="Y150" s="90">
        <v>60</v>
      </c>
      <c r="Z150" s="96">
        <v>43912.52480324074</v>
      </c>
      <c r="AA150" s="96">
        <v>43912.52480324074</v>
      </c>
      <c r="AB150" s="90"/>
      <c r="AC150" s="90"/>
      <c r="AD150" s="90"/>
      <c r="AE150" s="90">
        <v>1</v>
      </c>
      <c r="AF150" s="89" t="str">
        <f>REPLACE(INDEX(GroupVertices[Group],MATCH(Edges[[#This Row],[Vertex 1]],GroupVertices[Vertex],0)),1,1,"")</f>
        <v>1</v>
      </c>
      <c r="AG150" s="89" t="str">
        <f>REPLACE(INDEX(GroupVertices[Group],MATCH(Edges[[#This Row],[Vertex 2]],GroupVertices[Vertex],0)),1,1,"")</f>
        <v>1</v>
      </c>
      <c r="AH150" s="48">
        <v>2</v>
      </c>
      <c r="AI150" s="49">
        <v>4.3478260869565215</v>
      </c>
      <c r="AJ150" s="48">
        <v>1</v>
      </c>
      <c r="AK150" s="49">
        <v>2.1739130434782608</v>
      </c>
      <c r="AL150" s="48">
        <v>0</v>
      </c>
      <c r="AM150" s="49">
        <v>0</v>
      </c>
      <c r="AN150" s="48">
        <v>43</v>
      </c>
      <c r="AO150" s="49">
        <v>93.47826086956522</v>
      </c>
      <c r="AP150" s="48">
        <v>46</v>
      </c>
    </row>
    <row r="151" spans="1:42" ht="15">
      <c r="A151" s="66" t="s">
        <v>827</v>
      </c>
      <c r="B151" s="66" t="s">
        <v>853</v>
      </c>
      <c r="C151" s="67" t="s">
        <v>743</v>
      </c>
      <c r="D151" s="68">
        <v>3</v>
      </c>
      <c r="E151" s="69"/>
      <c r="F151" s="70">
        <v>50</v>
      </c>
      <c r="G151" s="67"/>
      <c r="H151" s="71"/>
      <c r="I151" s="72"/>
      <c r="J151" s="72"/>
      <c r="K151" s="34" t="s">
        <v>65</v>
      </c>
      <c r="L151" s="79">
        <v>151</v>
      </c>
      <c r="M151" s="79"/>
      <c r="N151" s="74"/>
      <c r="O151" s="90" t="s">
        <v>322</v>
      </c>
      <c r="P151" s="90" t="s">
        <v>324</v>
      </c>
      <c r="Q151" s="90" t="s">
        <v>1024</v>
      </c>
      <c r="R151" s="90" t="s">
        <v>827</v>
      </c>
      <c r="S151" s="90" t="s">
        <v>1134</v>
      </c>
      <c r="T151" s="93" t="str">
        <f>HYPERLINK("http://www.youtube.com/channel/UCbTEPPnor25BJIqAb_ZmhAA")</f>
        <v>http://www.youtube.com/channel/UCbTEPPnor25BJIqAb_ZmhAA</v>
      </c>
      <c r="U151" s="90" t="s">
        <v>1210</v>
      </c>
      <c r="V151" s="90" t="s">
        <v>1227</v>
      </c>
      <c r="W151" s="93" t="str">
        <f>HYPERLINK("https://www.youtube.com/watch?v=L3Ob_r4yk60")</f>
        <v>https://www.youtube.com/watch?v=L3Ob_r4yk60</v>
      </c>
      <c r="X151" s="90" t="s">
        <v>326</v>
      </c>
      <c r="Y151" s="90">
        <v>3</v>
      </c>
      <c r="Z151" s="96">
        <v>43912.70916666667</v>
      </c>
      <c r="AA151" s="96">
        <v>43912.70916666667</v>
      </c>
      <c r="AB151" s="90"/>
      <c r="AC151" s="90"/>
      <c r="AD151" s="90"/>
      <c r="AE151" s="90">
        <v>1</v>
      </c>
      <c r="AF151" s="89" t="str">
        <f>REPLACE(INDEX(GroupVertices[Group],MATCH(Edges[[#This Row],[Vertex 1]],GroupVertices[Vertex],0)),1,1,"")</f>
        <v>9</v>
      </c>
      <c r="AG151" s="89" t="str">
        <f>REPLACE(INDEX(GroupVertices[Group],MATCH(Edges[[#This Row],[Vertex 2]],GroupVertices[Vertex],0)),1,1,"")</f>
        <v>9</v>
      </c>
      <c r="AH151" s="48">
        <v>0</v>
      </c>
      <c r="AI151" s="49">
        <v>0</v>
      </c>
      <c r="AJ151" s="48">
        <v>0</v>
      </c>
      <c r="AK151" s="49">
        <v>0</v>
      </c>
      <c r="AL151" s="48">
        <v>0</v>
      </c>
      <c r="AM151" s="49">
        <v>0</v>
      </c>
      <c r="AN151" s="48">
        <v>14</v>
      </c>
      <c r="AO151" s="49">
        <v>100</v>
      </c>
      <c r="AP151" s="48">
        <v>14</v>
      </c>
    </row>
    <row r="152" spans="1:42" ht="15">
      <c r="A152" s="66" t="s">
        <v>853</v>
      </c>
      <c r="B152" s="66" t="s">
        <v>876</v>
      </c>
      <c r="C152" s="67" t="s">
        <v>743</v>
      </c>
      <c r="D152" s="68">
        <v>3</v>
      </c>
      <c r="E152" s="69"/>
      <c r="F152" s="70">
        <v>50</v>
      </c>
      <c r="G152" s="67"/>
      <c r="H152" s="71"/>
      <c r="I152" s="72"/>
      <c r="J152" s="72"/>
      <c r="K152" s="34" t="s">
        <v>65</v>
      </c>
      <c r="L152" s="79">
        <v>152</v>
      </c>
      <c r="M152" s="79"/>
      <c r="N152" s="74"/>
      <c r="O152" s="90" t="s">
        <v>323</v>
      </c>
      <c r="P152" s="90" t="s">
        <v>308</v>
      </c>
      <c r="Q152" s="90" t="s">
        <v>1025</v>
      </c>
      <c r="R152" s="90" t="s">
        <v>853</v>
      </c>
      <c r="S152" s="90" t="s">
        <v>1160</v>
      </c>
      <c r="T152" s="93" t="str">
        <f>HYPERLINK("http://www.youtube.com/channel/UCGbqK5PmhLSKcoWF3ugyfIA")</f>
        <v>http://www.youtube.com/channel/UCGbqK5PmhLSKcoWF3ugyfIA</v>
      </c>
      <c r="U152" s="90"/>
      <c r="V152" s="90" t="s">
        <v>1227</v>
      </c>
      <c r="W152" s="93" t="str">
        <f>HYPERLINK("https://www.youtube.com/watch?v=L3Ob_r4yk60")</f>
        <v>https://www.youtube.com/watch?v=L3Ob_r4yk60</v>
      </c>
      <c r="X152" s="90" t="s">
        <v>326</v>
      </c>
      <c r="Y152" s="90">
        <v>22</v>
      </c>
      <c r="Z152" s="96">
        <v>43912.52600694444</v>
      </c>
      <c r="AA152" s="96">
        <v>43912.729409722226</v>
      </c>
      <c r="AB152" s="90"/>
      <c r="AC152" s="90"/>
      <c r="AD152" s="90"/>
      <c r="AE152" s="90">
        <v>1</v>
      </c>
      <c r="AF152" s="89" t="str">
        <f>REPLACE(INDEX(GroupVertices[Group],MATCH(Edges[[#This Row],[Vertex 1]],GroupVertices[Vertex],0)),1,1,"")</f>
        <v>9</v>
      </c>
      <c r="AG152" s="89" t="str">
        <f>REPLACE(INDEX(GroupVertices[Group],MATCH(Edges[[#This Row],[Vertex 2]],GroupVertices[Vertex],0)),1,1,"")</f>
        <v>1</v>
      </c>
      <c r="AH152" s="48">
        <v>0</v>
      </c>
      <c r="AI152" s="49">
        <v>0</v>
      </c>
      <c r="AJ152" s="48">
        <v>1</v>
      </c>
      <c r="AK152" s="49">
        <v>3.7037037037037037</v>
      </c>
      <c r="AL152" s="48">
        <v>0</v>
      </c>
      <c r="AM152" s="49">
        <v>0</v>
      </c>
      <c r="AN152" s="48">
        <v>26</v>
      </c>
      <c r="AO152" s="49">
        <v>96.29629629629629</v>
      </c>
      <c r="AP152" s="48">
        <v>27</v>
      </c>
    </row>
    <row r="153" spans="1:42" ht="15">
      <c r="A153" s="66" t="s">
        <v>778</v>
      </c>
      <c r="B153" s="66" t="s">
        <v>854</v>
      </c>
      <c r="C153" s="67" t="s">
        <v>743</v>
      </c>
      <c r="D153" s="68">
        <v>3</v>
      </c>
      <c r="E153" s="69"/>
      <c r="F153" s="70">
        <v>50</v>
      </c>
      <c r="G153" s="67"/>
      <c r="H153" s="71"/>
      <c r="I153" s="72"/>
      <c r="J153" s="72"/>
      <c r="K153" s="34" t="s">
        <v>65</v>
      </c>
      <c r="L153" s="79">
        <v>153</v>
      </c>
      <c r="M153" s="79"/>
      <c r="N153" s="74"/>
      <c r="O153" s="90" t="s">
        <v>322</v>
      </c>
      <c r="P153" s="90" t="s">
        <v>324</v>
      </c>
      <c r="Q153" s="90" t="s">
        <v>1026</v>
      </c>
      <c r="R153" s="90" t="s">
        <v>778</v>
      </c>
      <c r="S153" s="90" t="s">
        <v>1085</v>
      </c>
      <c r="T153" s="93" t="str">
        <f>HYPERLINK("http://www.youtube.com/channel/UCvFvo310EFTNVcGfu0vvTPg")</f>
        <v>http://www.youtube.com/channel/UCvFvo310EFTNVcGfu0vvTPg</v>
      </c>
      <c r="U153" s="90" t="s">
        <v>1211</v>
      </c>
      <c r="V153" s="90" t="s">
        <v>1227</v>
      </c>
      <c r="W153" s="93" t="str">
        <f>HYPERLINK("https://www.youtube.com/watch?v=L3Ob_r4yk60")</f>
        <v>https://www.youtube.com/watch?v=L3Ob_r4yk60</v>
      </c>
      <c r="X153" s="90" t="s">
        <v>326</v>
      </c>
      <c r="Y153" s="90">
        <v>1</v>
      </c>
      <c r="Z153" s="96">
        <v>43912.54347222222</v>
      </c>
      <c r="AA153" s="96">
        <v>43912.54347222222</v>
      </c>
      <c r="AB153" s="90"/>
      <c r="AC153" s="90"/>
      <c r="AD153" s="90"/>
      <c r="AE153" s="90">
        <v>1</v>
      </c>
      <c r="AF153" s="89" t="str">
        <f>REPLACE(INDEX(GroupVertices[Group],MATCH(Edges[[#This Row],[Vertex 1]],GroupVertices[Vertex],0)),1,1,"")</f>
        <v>3</v>
      </c>
      <c r="AG153" s="89" t="str">
        <f>REPLACE(INDEX(GroupVertices[Group],MATCH(Edges[[#This Row],[Vertex 2]],GroupVertices[Vertex],0)),1,1,"")</f>
        <v>3</v>
      </c>
      <c r="AH153" s="48">
        <v>2</v>
      </c>
      <c r="AI153" s="49">
        <v>15.384615384615385</v>
      </c>
      <c r="AJ153" s="48">
        <v>0</v>
      </c>
      <c r="AK153" s="49">
        <v>0</v>
      </c>
      <c r="AL153" s="48">
        <v>0</v>
      </c>
      <c r="AM153" s="49">
        <v>0</v>
      </c>
      <c r="AN153" s="48">
        <v>11</v>
      </c>
      <c r="AO153" s="49">
        <v>84.61538461538461</v>
      </c>
      <c r="AP153" s="48">
        <v>13</v>
      </c>
    </row>
    <row r="154" spans="1:42" ht="15">
      <c r="A154" s="66" t="s">
        <v>854</v>
      </c>
      <c r="B154" s="66" t="s">
        <v>876</v>
      </c>
      <c r="C154" s="67" t="s">
        <v>743</v>
      </c>
      <c r="D154" s="68">
        <v>3</v>
      </c>
      <c r="E154" s="69"/>
      <c r="F154" s="70">
        <v>50</v>
      </c>
      <c r="G154" s="67"/>
      <c r="H154" s="71"/>
      <c r="I154" s="72"/>
      <c r="J154" s="72"/>
      <c r="K154" s="34" t="s">
        <v>65</v>
      </c>
      <c r="L154" s="79">
        <v>154</v>
      </c>
      <c r="M154" s="79"/>
      <c r="N154" s="74"/>
      <c r="O154" s="90" t="s">
        <v>323</v>
      </c>
      <c r="P154" s="90" t="s">
        <v>308</v>
      </c>
      <c r="Q154" s="90" t="s">
        <v>1027</v>
      </c>
      <c r="R154" s="90" t="s">
        <v>854</v>
      </c>
      <c r="S154" s="90" t="s">
        <v>1161</v>
      </c>
      <c r="T154" s="93" t="str">
        <f>HYPERLINK("http://www.youtube.com/channel/UCpQ5hf5rc5V2YImTM7sRCyg")</f>
        <v>http://www.youtube.com/channel/UCpQ5hf5rc5V2YImTM7sRCyg</v>
      </c>
      <c r="U154" s="90"/>
      <c r="V154" s="90" t="s">
        <v>1227</v>
      </c>
      <c r="W154" s="93" t="str">
        <f>HYPERLINK("https://www.youtube.com/watch?v=L3Ob_r4yk60")</f>
        <v>https://www.youtube.com/watch?v=L3Ob_r4yk60</v>
      </c>
      <c r="X154" s="90" t="s">
        <v>326</v>
      </c>
      <c r="Y154" s="90">
        <v>1</v>
      </c>
      <c r="Z154" s="96">
        <v>43912.52616898148</v>
      </c>
      <c r="AA154" s="96">
        <v>43912.52616898148</v>
      </c>
      <c r="AB154" s="90"/>
      <c r="AC154" s="90"/>
      <c r="AD154" s="90"/>
      <c r="AE154" s="90">
        <v>1</v>
      </c>
      <c r="AF154" s="89" t="str">
        <f>REPLACE(INDEX(GroupVertices[Group],MATCH(Edges[[#This Row],[Vertex 1]],GroupVertices[Vertex],0)),1,1,"")</f>
        <v>3</v>
      </c>
      <c r="AG154" s="89" t="str">
        <f>REPLACE(INDEX(GroupVertices[Group],MATCH(Edges[[#This Row],[Vertex 2]],GroupVertices[Vertex],0)),1,1,"")</f>
        <v>1</v>
      </c>
      <c r="AH154" s="48">
        <v>2</v>
      </c>
      <c r="AI154" s="49">
        <v>6.451612903225806</v>
      </c>
      <c r="AJ154" s="48">
        <v>0</v>
      </c>
      <c r="AK154" s="49">
        <v>0</v>
      </c>
      <c r="AL154" s="48">
        <v>0</v>
      </c>
      <c r="AM154" s="49">
        <v>0</v>
      </c>
      <c r="AN154" s="48">
        <v>29</v>
      </c>
      <c r="AO154" s="49">
        <v>93.54838709677419</v>
      </c>
      <c r="AP154" s="48">
        <v>31</v>
      </c>
    </row>
    <row r="155" spans="1:42" ht="15">
      <c r="A155" s="66" t="s">
        <v>778</v>
      </c>
      <c r="B155" s="66" t="s">
        <v>855</v>
      </c>
      <c r="C155" s="67" t="s">
        <v>743</v>
      </c>
      <c r="D155" s="68">
        <v>3</v>
      </c>
      <c r="E155" s="69"/>
      <c r="F155" s="70">
        <v>50</v>
      </c>
      <c r="G155" s="67"/>
      <c r="H155" s="71"/>
      <c r="I155" s="72"/>
      <c r="J155" s="72"/>
      <c r="K155" s="34" t="s">
        <v>65</v>
      </c>
      <c r="L155" s="79">
        <v>155</v>
      </c>
      <c r="M155" s="79"/>
      <c r="N155" s="74"/>
      <c r="O155" s="90" t="s">
        <v>322</v>
      </c>
      <c r="P155" s="90" t="s">
        <v>324</v>
      </c>
      <c r="Q155" s="90" t="s">
        <v>1028</v>
      </c>
      <c r="R155" s="90" t="s">
        <v>778</v>
      </c>
      <c r="S155" s="90" t="s">
        <v>1085</v>
      </c>
      <c r="T155" s="93" t="str">
        <f>HYPERLINK("http://www.youtube.com/channel/UCvFvo310EFTNVcGfu0vvTPg")</f>
        <v>http://www.youtube.com/channel/UCvFvo310EFTNVcGfu0vvTPg</v>
      </c>
      <c r="U155" s="90" t="s">
        <v>1212</v>
      </c>
      <c r="V155" s="90" t="s">
        <v>1227</v>
      </c>
      <c r="W155" s="93" t="str">
        <f>HYPERLINK("https://www.youtube.com/watch?v=L3Ob_r4yk60")</f>
        <v>https://www.youtube.com/watch?v=L3Ob_r4yk60</v>
      </c>
      <c r="X155" s="90" t="s">
        <v>326</v>
      </c>
      <c r="Y155" s="90">
        <v>1</v>
      </c>
      <c r="Z155" s="96">
        <v>43912.54324074074</v>
      </c>
      <c r="AA155" s="96">
        <v>43912.54324074074</v>
      </c>
      <c r="AB155" s="90"/>
      <c r="AC155" s="90"/>
      <c r="AD155" s="90"/>
      <c r="AE155" s="90">
        <v>1</v>
      </c>
      <c r="AF155" s="89" t="str">
        <f>REPLACE(INDEX(GroupVertices[Group],MATCH(Edges[[#This Row],[Vertex 1]],GroupVertices[Vertex],0)),1,1,"")</f>
        <v>3</v>
      </c>
      <c r="AG155" s="89" t="str">
        <f>REPLACE(INDEX(GroupVertices[Group],MATCH(Edges[[#This Row],[Vertex 2]],GroupVertices[Vertex],0)),1,1,"")</f>
        <v>3</v>
      </c>
      <c r="AH155" s="48">
        <v>1</v>
      </c>
      <c r="AI155" s="49">
        <v>5.2631578947368425</v>
      </c>
      <c r="AJ155" s="48">
        <v>0</v>
      </c>
      <c r="AK155" s="49">
        <v>0</v>
      </c>
      <c r="AL155" s="48">
        <v>0</v>
      </c>
      <c r="AM155" s="49">
        <v>0</v>
      </c>
      <c r="AN155" s="48">
        <v>18</v>
      </c>
      <c r="AO155" s="49">
        <v>94.73684210526316</v>
      </c>
      <c r="AP155" s="48">
        <v>19</v>
      </c>
    </row>
    <row r="156" spans="1:42" ht="15">
      <c r="A156" s="66" t="s">
        <v>855</v>
      </c>
      <c r="B156" s="66" t="s">
        <v>876</v>
      </c>
      <c r="C156" s="67" t="s">
        <v>743</v>
      </c>
      <c r="D156" s="68">
        <v>3</v>
      </c>
      <c r="E156" s="69"/>
      <c r="F156" s="70">
        <v>50</v>
      </c>
      <c r="G156" s="67"/>
      <c r="H156" s="71"/>
      <c r="I156" s="72"/>
      <c r="J156" s="72"/>
      <c r="K156" s="34" t="s">
        <v>65</v>
      </c>
      <c r="L156" s="79">
        <v>156</v>
      </c>
      <c r="M156" s="79"/>
      <c r="N156" s="74"/>
      <c r="O156" s="90" t="s">
        <v>323</v>
      </c>
      <c r="P156" s="90" t="s">
        <v>308</v>
      </c>
      <c r="Q156" s="90" t="s">
        <v>1029</v>
      </c>
      <c r="R156" s="90" t="s">
        <v>855</v>
      </c>
      <c r="S156" s="90" t="s">
        <v>1162</v>
      </c>
      <c r="T156" s="93" t="str">
        <f>HYPERLINK("http://www.youtube.com/channel/UC-ZYElr8s4DUq_mV-54LYww")</f>
        <v>http://www.youtube.com/channel/UC-ZYElr8s4DUq_mV-54LYww</v>
      </c>
      <c r="U156" s="90"/>
      <c r="V156" s="90" t="s">
        <v>1227</v>
      </c>
      <c r="W156" s="93" t="str">
        <f>HYPERLINK("https://www.youtube.com/watch?v=L3Ob_r4yk60")</f>
        <v>https://www.youtube.com/watch?v=L3Ob_r4yk60</v>
      </c>
      <c r="X156" s="90" t="s">
        <v>326</v>
      </c>
      <c r="Y156" s="90">
        <v>2</v>
      </c>
      <c r="Z156" s="96">
        <v>43912.5375</v>
      </c>
      <c r="AA156" s="96">
        <v>43912.5375</v>
      </c>
      <c r="AB156" s="90"/>
      <c r="AC156" s="90"/>
      <c r="AD156" s="90"/>
      <c r="AE156" s="90">
        <v>1</v>
      </c>
      <c r="AF156" s="89" t="str">
        <f>REPLACE(INDEX(GroupVertices[Group],MATCH(Edges[[#This Row],[Vertex 1]],GroupVertices[Vertex],0)),1,1,"")</f>
        <v>3</v>
      </c>
      <c r="AG156" s="89" t="str">
        <f>REPLACE(INDEX(GroupVertices[Group],MATCH(Edges[[#This Row],[Vertex 2]],GroupVertices[Vertex],0)),1,1,"")</f>
        <v>1</v>
      </c>
      <c r="AH156" s="48">
        <v>1</v>
      </c>
      <c r="AI156" s="49">
        <v>1.5625</v>
      </c>
      <c r="AJ156" s="48">
        <v>1</v>
      </c>
      <c r="AK156" s="49">
        <v>1.5625</v>
      </c>
      <c r="AL156" s="48">
        <v>0</v>
      </c>
      <c r="AM156" s="49">
        <v>0</v>
      </c>
      <c r="AN156" s="48">
        <v>62</v>
      </c>
      <c r="AO156" s="49">
        <v>96.875</v>
      </c>
      <c r="AP156" s="48">
        <v>64</v>
      </c>
    </row>
    <row r="157" spans="1:42" ht="15">
      <c r="A157" s="66" t="s">
        <v>856</v>
      </c>
      <c r="B157" s="66" t="s">
        <v>857</v>
      </c>
      <c r="C157" s="67" t="s">
        <v>743</v>
      </c>
      <c r="D157" s="68">
        <v>3</v>
      </c>
      <c r="E157" s="69"/>
      <c r="F157" s="70">
        <v>50</v>
      </c>
      <c r="G157" s="67"/>
      <c r="H157" s="71"/>
      <c r="I157" s="72"/>
      <c r="J157" s="72"/>
      <c r="K157" s="34" t="s">
        <v>65</v>
      </c>
      <c r="L157" s="79">
        <v>157</v>
      </c>
      <c r="M157" s="79"/>
      <c r="N157" s="74"/>
      <c r="O157" s="90" t="s">
        <v>322</v>
      </c>
      <c r="P157" s="90" t="s">
        <v>324</v>
      </c>
      <c r="Q157" s="90" t="s">
        <v>1030</v>
      </c>
      <c r="R157" s="90" t="s">
        <v>856</v>
      </c>
      <c r="S157" s="90" t="s">
        <v>1163</v>
      </c>
      <c r="T157" s="93" t="str">
        <f>HYPERLINK("http://www.youtube.com/channel/UCUmvDtvYGtWn0X68wy2MXWQ")</f>
        <v>http://www.youtube.com/channel/UCUmvDtvYGtWn0X68wy2MXWQ</v>
      </c>
      <c r="U157" s="90" t="s">
        <v>1213</v>
      </c>
      <c r="V157" s="90" t="s">
        <v>1227</v>
      </c>
      <c r="W157" s="93" t="str">
        <f>HYPERLINK("https://www.youtube.com/watch?v=L3Ob_r4yk60")</f>
        <v>https://www.youtube.com/watch?v=L3Ob_r4yk60</v>
      </c>
      <c r="X157" s="90" t="s">
        <v>326</v>
      </c>
      <c r="Y157" s="90">
        <v>6</v>
      </c>
      <c r="Z157" s="96">
        <v>43913.062951388885</v>
      </c>
      <c r="AA157" s="96">
        <v>43913.062951388885</v>
      </c>
      <c r="AB157" s="90"/>
      <c r="AC157" s="90"/>
      <c r="AD157" s="90"/>
      <c r="AE157" s="90">
        <v>1</v>
      </c>
      <c r="AF157" s="89" t="str">
        <f>REPLACE(INDEX(GroupVertices[Group],MATCH(Edges[[#This Row],[Vertex 1]],GroupVertices[Vertex],0)),1,1,"")</f>
        <v>1</v>
      </c>
      <c r="AG157" s="89" t="str">
        <f>REPLACE(INDEX(GroupVertices[Group],MATCH(Edges[[#This Row],[Vertex 2]],GroupVertices[Vertex],0)),1,1,"")</f>
        <v>1</v>
      </c>
      <c r="AH157" s="48">
        <v>0</v>
      </c>
      <c r="AI157" s="49">
        <v>0</v>
      </c>
      <c r="AJ157" s="48">
        <v>1</v>
      </c>
      <c r="AK157" s="49">
        <v>6.25</v>
      </c>
      <c r="AL157" s="48">
        <v>0</v>
      </c>
      <c r="AM157" s="49">
        <v>0</v>
      </c>
      <c r="AN157" s="48">
        <v>15</v>
      </c>
      <c r="AO157" s="49">
        <v>93.75</v>
      </c>
      <c r="AP157" s="48">
        <v>16</v>
      </c>
    </row>
    <row r="158" spans="1:42" ht="15">
      <c r="A158" s="66" t="s">
        <v>857</v>
      </c>
      <c r="B158" s="66" t="s">
        <v>876</v>
      </c>
      <c r="C158" s="67" t="s">
        <v>743</v>
      </c>
      <c r="D158" s="68">
        <v>3</v>
      </c>
      <c r="E158" s="69"/>
      <c r="F158" s="70">
        <v>50</v>
      </c>
      <c r="G158" s="67"/>
      <c r="H158" s="71"/>
      <c r="I158" s="72"/>
      <c r="J158" s="72"/>
      <c r="K158" s="34" t="s">
        <v>65</v>
      </c>
      <c r="L158" s="79">
        <v>158</v>
      </c>
      <c r="M158" s="79"/>
      <c r="N158" s="74"/>
      <c r="O158" s="90" t="s">
        <v>323</v>
      </c>
      <c r="P158" s="90" t="s">
        <v>308</v>
      </c>
      <c r="Q158" s="90" t="s">
        <v>1031</v>
      </c>
      <c r="R158" s="90" t="s">
        <v>857</v>
      </c>
      <c r="S158" s="90" t="s">
        <v>1164</v>
      </c>
      <c r="T158" s="93" t="str">
        <f>HYPERLINK("http://www.youtube.com/channel/UCLcw5E_aZNmI37wPN1zBNow")</f>
        <v>http://www.youtube.com/channel/UCLcw5E_aZNmI37wPN1zBNow</v>
      </c>
      <c r="U158" s="90"/>
      <c r="V158" s="90" t="s">
        <v>1227</v>
      </c>
      <c r="W158" s="93" t="str">
        <f>HYPERLINK("https://www.youtube.com/watch?v=L3Ob_r4yk60")</f>
        <v>https://www.youtube.com/watch?v=L3Ob_r4yk60</v>
      </c>
      <c r="X158" s="90" t="s">
        <v>326</v>
      </c>
      <c r="Y158" s="90">
        <v>70</v>
      </c>
      <c r="Z158" s="96">
        <v>43912.540972222225</v>
      </c>
      <c r="AA158" s="96">
        <v>43912.540972222225</v>
      </c>
      <c r="AB158" s="90"/>
      <c r="AC158" s="90"/>
      <c r="AD158" s="90"/>
      <c r="AE158" s="90">
        <v>1</v>
      </c>
      <c r="AF158" s="89" t="str">
        <f>REPLACE(INDEX(GroupVertices[Group],MATCH(Edges[[#This Row],[Vertex 1]],GroupVertices[Vertex],0)),1,1,"")</f>
        <v>1</v>
      </c>
      <c r="AG158" s="89" t="str">
        <f>REPLACE(INDEX(GroupVertices[Group],MATCH(Edges[[#This Row],[Vertex 2]],GroupVertices[Vertex],0)),1,1,"")</f>
        <v>1</v>
      </c>
      <c r="AH158" s="48">
        <v>0</v>
      </c>
      <c r="AI158" s="49">
        <v>0</v>
      </c>
      <c r="AJ158" s="48">
        <v>0</v>
      </c>
      <c r="AK158" s="49">
        <v>0</v>
      </c>
      <c r="AL158" s="48">
        <v>0</v>
      </c>
      <c r="AM158" s="49">
        <v>0</v>
      </c>
      <c r="AN158" s="48">
        <v>20</v>
      </c>
      <c r="AO158" s="49">
        <v>100</v>
      </c>
      <c r="AP158" s="48">
        <v>20</v>
      </c>
    </row>
    <row r="159" spans="1:42" ht="15">
      <c r="A159" s="66" t="s">
        <v>858</v>
      </c>
      <c r="B159" s="66" t="s">
        <v>779</v>
      </c>
      <c r="C159" s="67" t="s">
        <v>743</v>
      </c>
      <c r="D159" s="68">
        <v>3</v>
      </c>
      <c r="E159" s="69"/>
      <c r="F159" s="70">
        <v>50</v>
      </c>
      <c r="G159" s="67"/>
      <c r="H159" s="71"/>
      <c r="I159" s="72"/>
      <c r="J159" s="72"/>
      <c r="K159" s="34" t="s">
        <v>65</v>
      </c>
      <c r="L159" s="79">
        <v>159</v>
      </c>
      <c r="M159" s="79"/>
      <c r="N159" s="74"/>
      <c r="O159" s="90" t="s">
        <v>322</v>
      </c>
      <c r="P159" s="90" t="s">
        <v>324</v>
      </c>
      <c r="Q159" s="90" t="s">
        <v>1032</v>
      </c>
      <c r="R159" s="90" t="s">
        <v>858</v>
      </c>
      <c r="S159" s="90" t="s">
        <v>1165</v>
      </c>
      <c r="T159" s="93" t="str">
        <f>HYPERLINK("http://www.youtube.com/channel/UCNYSaKXoIywTrmguWATCGdg")</f>
        <v>http://www.youtube.com/channel/UCNYSaKXoIywTrmguWATCGdg</v>
      </c>
      <c r="U159" s="90" t="s">
        <v>1214</v>
      </c>
      <c r="V159" s="90" t="s">
        <v>1227</v>
      </c>
      <c r="W159" s="93" t="str">
        <f>HYPERLINK("https://www.youtube.com/watch?v=L3Ob_r4yk60")</f>
        <v>https://www.youtube.com/watch?v=L3Ob_r4yk60</v>
      </c>
      <c r="X159" s="90" t="s">
        <v>326</v>
      </c>
      <c r="Y159" s="90">
        <v>1</v>
      </c>
      <c r="Z159" s="96">
        <v>43913.727476851855</v>
      </c>
      <c r="AA159" s="96">
        <v>43913.727476851855</v>
      </c>
      <c r="AB159" s="90"/>
      <c r="AC159" s="90"/>
      <c r="AD159" s="90"/>
      <c r="AE159" s="90">
        <v>1</v>
      </c>
      <c r="AF159" s="89" t="str">
        <f>REPLACE(INDEX(GroupVertices[Group],MATCH(Edges[[#This Row],[Vertex 1]],GroupVertices[Vertex],0)),1,1,"")</f>
        <v>6</v>
      </c>
      <c r="AG159" s="89" t="str">
        <f>REPLACE(INDEX(GroupVertices[Group],MATCH(Edges[[#This Row],[Vertex 2]],GroupVertices[Vertex],0)),1,1,"")</f>
        <v>6</v>
      </c>
      <c r="AH159" s="48">
        <v>0</v>
      </c>
      <c r="AI159" s="49">
        <v>0</v>
      </c>
      <c r="AJ159" s="48">
        <v>0</v>
      </c>
      <c r="AK159" s="49">
        <v>0</v>
      </c>
      <c r="AL159" s="48">
        <v>0</v>
      </c>
      <c r="AM159" s="49">
        <v>0</v>
      </c>
      <c r="AN159" s="48">
        <v>13</v>
      </c>
      <c r="AO159" s="49">
        <v>100</v>
      </c>
      <c r="AP159" s="48">
        <v>13</v>
      </c>
    </row>
    <row r="160" spans="1:42" ht="15">
      <c r="A160" s="66" t="s">
        <v>779</v>
      </c>
      <c r="B160" s="66" t="s">
        <v>779</v>
      </c>
      <c r="C160" s="67" t="s">
        <v>743</v>
      </c>
      <c r="D160" s="68">
        <v>3</v>
      </c>
      <c r="E160" s="69"/>
      <c r="F160" s="70">
        <v>50</v>
      </c>
      <c r="G160" s="67"/>
      <c r="H160" s="71"/>
      <c r="I160" s="72"/>
      <c r="J160" s="72"/>
      <c r="K160" s="34" t="s">
        <v>65</v>
      </c>
      <c r="L160" s="79">
        <v>160</v>
      </c>
      <c r="M160" s="79"/>
      <c r="N160" s="74"/>
      <c r="O160" s="90" t="s">
        <v>322</v>
      </c>
      <c r="P160" s="90" t="s">
        <v>324</v>
      </c>
      <c r="Q160" s="90" t="s">
        <v>1033</v>
      </c>
      <c r="R160" s="90" t="s">
        <v>779</v>
      </c>
      <c r="S160" s="90" t="s">
        <v>1086</v>
      </c>
      <c r="T160" s="93" t="str">
        <f>HYPERLINK("http://www.youtube.com/channel/UCcpk4DMUL77bDwnugsEEHwQ")</f>
        <v>http://www.youtube.com/channel/UCcpk4DMUL77bDwnugsEEHwQ</v>
      </c>
      <c r="U160" s="90" t="s">
        <v>1214</v>
      </c>
      <c r="V160" s="90" t="s">
        <v>1227</v>
      </c>
      <c r="W160" s="93" t="str">
        <f>HYPERLINK("https://www.youtube.com/watch?v=L3Ob_r4yk60")</f>
        <v>https://www.youtube.com/watch?v=L3Ob_r4yk60</v>
      </c>
      <c r="X160" s="90" t="s">
        <v>326</v>
      </c>
      <c r="Y160" s="90">
        <v>0</v>
      </c>
      <c r="Z160" s="96">
        <v>43913.734398148146</v>
      </c>
      <c r="AA160" s="96">
        <v>43913.73547453704</v>
      </c>
      <c r="AB160" s="90"/>
      <c r="AC160" s="90"/>
      <c r="AD160" s="90"/>
      <c r="AE160" s="90">
        <v>1</v>
      </c>
      <c r="AF160" s="89" t="str">
        <f>REPLACE(INDEX(GroupVertices[Group],MATCH(Edges[[#This Row],[Vertex 1]],GroupVertices[Vertex],0)),1,1,"")</f>
        <v>6</v>
      </c>
      <c r="AG160" s="89" t="str">
        <f>REPLACE(INDEX(GroupVertices[Group],MATCH(Edges[[#This Row],[Vertex 2]],GroupVertices[Vertex],0)),1,1,"")</f>
        <v>6</v>
      </c>
      <c r="AH160" s="48">
        <v>1</v>
      </c>
      <c r="AI160" s="49">
        <v>16.666666666666668</v>
      </c>
      <c r="AJ160" s="48">
        <v>0</v>
      </c>
      <c r="AK160" s="49">
        <v>0</v>
      </c>
      <c r="AL160" s="48">
        <v>0</v>
      </c>
      <c r="AM160" s="49">
        <v>0</v>
      </c>
      <c r="AN160" s="48">
        <v>5</v>
      </c>
      <c r="AO160" s="49">
        <v>83.33333333333333</v>
      </c>
      <c r="AP160" s="48">
        <v>6</v>
      </c>
    </row>
    <row r="161" spans="1:42" ht="15">
      <c r="A161" s="66" t="s">
        <v>779</v>
      </c>
      <c r="B161" s="66" t="s">
        <v>876</v>
      </c>
      <c r="C161" s="67" t="s">
        <v>743</v>
      </c>
      <c r="D161" s="68">
        <v>3</v>
      </c>
      <c r="E161" s="69"/>
      <c r="F161" s="70">
        <v>50</v>
      </c>
      <c r="G161" s="67"/>
      <c r="H161" s="71"/>
      <c r="I161" s="72"/>
      <c r="J161" s="72"/>
      <c r="K161" s="34" t="s">
        <v>65</v>
      </c>
      <c r="L161" s="79">
        <v>161</v>
      </c>
      <c r="M161" s="79"/>
      <c r="N161" s="74"/>
      <c r="O161" s="90" t="s">
        <v>323</v>
      </c>
      <c r="P161" s="90" t="s">
        <v>308</v>
      </c>
      <c r="Q161" s="90" t="s">
        <v>1034</v>
      </c>
      <c r="R161" s="90" t="s">
        <v>779</v>
      </c>
      <c r="S161" s="90" t="s">
        <v>1086</v>
      </c>
      <c r="T161" s="93" t="str">
        <f>HYPERLINK("http://www.youtube.com/channel/UCcpk4DMUL77bDwnugsEEHwQ")</f>
        <v>http://www.youtube.com/channel/UCcpk4DMUL77bDwnugsEEHwQ</v>
      </c>
      <c r="U161" s="90"/>
      <c r="V161" s="90" t="s">
        <v>1227</v>
      </c>
      <c r="W161" s="93" t="str">
        <f>HYPERLINK("https://www.youtube.com/watch?v=L3Ob_r4yk60")</f>
        <v>https://www.youtube.com/watch?v=L3Ob_r4yk60</v>
      </c>
      <c r="X161" s="90" t="s">
        <v>326</v>
      </c>
      <c r="Y161" s="90">
        <v>12</v>
      </c>
      <c r="Z161" s="96">
        <v>43912.543333333335</v>
      </c>
      <c r="AA161" s="96">
        <v>43912.547476851854</v>
      </c>
      <c r="AB161" s="90"/>
      <c r="AC161" s="90"/>
      <c r="AD161" s="90"/>
      <c r="AE161" s="90">
        <v>1</v>
      </c>
      <c r="AF161" s="89" t="str">
        <f>REPLACE(INDEX(GroupVertices[Group],MATCH(Edges[[#This Row],[Vertex 1]],GroupVertices[Vertex],0)),1,1,"")</f>
        <v>6</v>
      </c>
      <c r="AG161" s="89" t="str">
        <f>REPLACE(INDEX(GroupVertices[Group],MATCH(Edges[[#This Row],[Vertex 2]],GroupVertices[Vertex],0)),1,1,"")</f>
        <v>1</v>
      </c>
      <c r="AH161" s="48">
        <v>0</v>
      </c>
      <c r="AI161" s="49">
        <v>0</v>
      </c>
      <c r="AJ161" s="48">
        <v>1</v>
      </c>
      <c r="AK161" s="49">
        <v>4</v>
      </c>
      <c r="AL161" s="48">
        <v>0</v>
      </c>
      <c r="AM161" s="49">
        <v>0</v>
      </c>
      <c r="AN161" s="48">
        <v>24</v>
      </c>
      <c r="AO161" s="49">
        <v>96</v>
      </c>
      <c r="AP161" s="48">
        <v>25</v>
      </c>
    </row>
    <row r="162" spans="1:42" ht="15">
      <c r="A162" s="66" t="s">
        <v>859</v>
      </c>
      <c r="B162" s="66" t="s">
        <v>860</v>
      </c>
      <c r="C162" s="67" t="s">
        <v>743</v>
      </c>
      <c r="D162" s="68">
        <v>3</v>
      </c>
      <c r="E162" s="69"/>
      <c r="F162" s="70">
        <v>50</v>
      </c>
      <c r="G162" s="67"/>
      <c r="H162" s="71"/>
      <c r="I162" s="72"/>
      <c r="J162" s="72"/>
      <c r="K162" s="34" t="s">
        <v>65</v>
      </c>
      <c r="L162" s="79">
        <v>162</v>
      </c>
      <c r="M162" s="79"/>
      <c r="N162" s="74"/>
      <c r="O162" s="90" t="s">
        <v>322</v>
      </c>
      <c r="P162" s="90" t="s">
        <v>324</v>
      </c>
      <c r="Q162" s="90" t="s">
        <v>1035</v>
      </c>
      <c r="R162" s="90" t="s">
        <v>859</v>
      </c>
      <c r="S162" s="90" t="s">
        <v>1166</v>
      </c>
      <c r="T162" s="93" t="str">
        <f>HYPERLINK("http://www.youtube.com/channel/UCHDhEYbvt58VoB_EmmoGKzQ")</f>
        <v>http://www.youtube.com/channel/UCHDhEYbvt58VoB_EmmoGKzQ</v>
      </c>
      <c r="U162" s="90" t="s">
        <v>1215</v>
      </c>
      <c r="V162" s="90" t="s">
        <v>1227</v>
      </c>
      <c r="W162" s="93" t="str">
        <f>HYPERLINK("https://www.youtube.com/watch?v=L3Ob_r4yk60")</f>
        <v>https://www.youtube.com/watch?v=L3Ob_r4yk60</v>
      </c>
      <c r="X162" s="90" t="s">
        <v>326</v>
      </c>
      <c r="Y162" s="90">
        <v>2</v>
      </c>
      <c r="Z162" s="96">
        <v>43912.61686342592</v>
      </c>
      <c r="AA162" s="96">
        <v>43912.61686342592</v>
      </c>
      <c r="AB162" s="90"/>
      <c r="AC162" s="90"/>
      <c r="AD162" s="90"/>
      <c r="AE162" s="90">
        <v>1</v>
      </c>
      <c r="AF162" s="89" t="str">
        <f>REPLACE(INDEX(GroupVertices[Group],MATCH(Edges[[#This Row],[Vertex 1]],GroupVertices[Vertex],0)),1,1,"")</f>
        <v>1</v>
      </c>
      <c r="AG162" s="89" t="str">
        <f>REPLACE(INDEX(GroupVertices[Group],MATCH(Edges[[#This Row],[Vertex 2]],GroupVertices[Vertex],0)),1,1,"")</f>
        <v>1</v>
      </c>
      <c r="AH162" s="48">
        <v>2</v>
      </c>
      <c r="AI162" s="49">
        <v>9.090909090909092</v>
      </c>
      <c r="AJ162" s="48">
        <v>1</v>
      </c>
      <c r="AK162" s="49">
        <v>4.545454545454546</v>
      </c>
      <c r="AL162" s="48">
        <v>0</v>
      </c>
      <c r="AM162" s="49">
        <v>0</v>
      </c>
      <c r="AN162" s="48">
        <v>19</v>
      </c>
      <c r="AO162" s="49">
        <v>86.36363636363636</v>
      </c>
      <c r="AP162" s="48">
        <v>22</v>
      </c>
    </row>
    <row r="163" spans="1:42" ht="15">
      <c r="A163" s="66" t="s">
        <v>860</v>
      </c>
      <c r="B163" s="66" t="s">
        <v>876</v>
      </c>
      <c r="C163" s="67" t="s">
        <v>743</v>
      </c>
      <c r="D163" s="68">
        <v>3</v>
      </c>
      <c r="E163" s="69"/>
      <c r="F163" s="70">
        <v>50</v>
      </c>
      <c r="G163" s="67"/>
      <c r="H163" s="71"/>
      <c r="I163" s="72"/>
      <c r="J163" s="72"/>
      <c r="K163" s="34" t="s">
        <v>65</v>
      </c>
      <c r="L163" s="79">
        <v>163</v>
      </c>
      <c r="M163" s="79"/>
      <c r="N163" s="74"/>
      <c r="O163" s="90" t="s">
        <v>323</v>
      </c>
      <c r="P163" s="90" t="s">
        <v>308</v>
      </c>
      <c r="Q163" s="90" t="s">
        <v>1036</v>
      </c>
      <c r="R163" s="90" t="s">
        <v>860</v>
      </c>
      <c r="S163" s="90" t="s">
        <v>1167</v>
      </c>
      <c r="T163" s="93" t="str">
        <f>HYPERLINK("http://www.youtube.com/channel/UCOxR2xzgccf-z4Xknns1q9g")</f>
        <v>http://www.youtube.com/channel/UCOxR2xzgccf-z4Xknns1q9g</v>
      </c>
      <c r="U163" s="90"/>
      <c r="V163" s="90" t="s">
        <v>1227</v>
      </c>
      <c r="W163" s="93" t="str">
        <f>HYPERLINK("https://www.youtube.com/watch?v=L3Ob_r4yk60")</f>
        <v>https://www.youtube.com/watch?v=L3Ob_r4yk60</v>
      </c>
      <c r="X163" s="90" t="s">
        <v>326</v>
      </c>
      <c r="Y163" s="90">
        <v>46</v>
      </c>
      <c r="Z163" s="96">
        <v>43912.549895833334</v>
      </c>
      <c r="AA163" s="96">
        <v>43912.549895833334</v>
      </c>
      <c r="AB163" s="90"/>
      <c r="AC163" s="90"/>
      <c r="AD163" s="90"/>
      <c r="AE163" s="90">
        <v>1</v>
      </c>
      <c r="AF163" s="89" t="str">
        <f>REPLACE(INDEX(GroupVertices[Group],MATCH(Edges[[#This Row],[Vertex 1]],GroupVertices[Vertex],0)),1,1,"")</f>
        <v>1</v>
      </c>
      <c r="AG163" s="89" t="str">
        <f>REPLACE(INDEX(GroupVertices[Group],MATCH(Edges[[#This Row],[Vertex 2]],GroupVertices[Vertex],0)),1,1,"")</f>
        <v>1</v>
      </c>
      <c r="AH163" s="48">
        <v>1</v>
      </c>
      <c r="AI163" s="49">
        <v>6.25</v>
      </c>
      <c r="AJ163" s="48">
        <v>0</v>
      </c>
      <c r="AK163" s="49">
        <v>0</v>
      </c>
      <c r="AL163" s="48">
        <v>0</v>
      </c>
      <c r="AM163" s="49">
        <v>0</v>
      </c>
      <c r="AN163" s="48">
        <v>15</v>
      </c>
      <c r="AO163" s="49">
        <v>93.75</v>
      </c>
      <c r="AP163" s="48">
        <v>16</v>
      </c>
    </row>
    <row r="164" spans="1:42" ht="15">
      <c r="A164" s="66" t="s">
        <v>835</v>
      </c>
      <c r="B164" s="66" t="s">
        <v>818</v>
      </c>
      <c r="C164" s="67" t="s">
        <v>743</v>
      </c>
      <c r="D164" s="68">
        <v>3</v>
      </c>
      <c r="E164" s="69"/>
      <c r="F164" s="70">
        <v>50</v>
      </c>
      <c r="G164" s="67"/>
      <c r="H164" s="71"/>
      <c r="I164" s="72"/>
      <c r="J164" s="72"/>
      <c r="K164" s="34" t="s">
        <v>65</v>
      </c>
      <c r="L164" s="79">
        <v>164</v>
      </c>
      <c r="M164" s="79"/>
      <c r="N164" s="74"/>
      <c r="O164" s="90" t="s">
        <v>322</v>
      </c>
      <c r="P164" s="90" t="s">
        <v>324</v>
      </c>
      <c r="Q164" s="90" t="s">
        <v>1037</v>
      </c>
      <c r="R164" s="90" t="s">
        <v>835</v>
      </c>
      <c r="S164" s="90" t="s">
        <v>1142</v>
      </c>
      <c r="T164" s="93" t="str">
        <f>HYPERLINK("http://www.youtube.com/channel/UCIa6MTGkOnHzKaIHeEUTsZQ")</f>
        <v>http://www.youtube.com/channel/UCIa6MTGkOnHzKaIHeEUTsZQ</v>
      </c>
      <c r="U164" s="90" t="s">
        <v>1216</v>
      </c>
      <c r="V164" s="90" t="s">
        <v>1227</v>
      </c>
      <c r="W164" s="93" t="str">
        <f>HYPERLINK("https://www.youtube.com/watch?v=L3Ob_r4yk60")</f>
        <v>https://www.youtube.com/watch?v=L3Ob_r4yk60</v>
      </c>
      <c r="X164" s="90" t="s">
        <v>326</v>
      </c>
      <c r="Y164" s="90">
        <v>1</v>
      </c>
      <c r="Z164" s="96">
        <v>43917.32150462963</v>
      </c>
      <c r="AA164" s="96">
        <v>43917.32150462963</v>
      </c>
      <c r="AB164" s="90"/>
      <c r="AC164" s="90"/>
      <c r="AD164" s="90"/>
      <c r="AE164" s="90">
        <v>1</v>
      </c>
      <c r="AF164" s="89" t="str">
        <f>REPLACE(INDEX(GroupVertices[Group],MATCH(Edges[[#This Row],[Vertex 1]],GroupVertices[Vertex],0)),1,1,"")</f>
        <v>4</v>
      </c>
      <c r="AG164" s="89" t="str">
        <f>REPLACE(INDEX(GroupVertices[Group],MATCH(Edges[[#This Row],[Vertex 2]],GroupVertices[Vertex],0)),1,1,"")</f>
        <v>4</v>
      </c>
      <c r="AH164" s="48">
        <v>0</v>
      </c>
      <c r="AI164" s="49">
        <v>0</v>
      </c>
      <c r="AJ164" s="48">
        <v>1</v>
      </c>
      <c r="AK164" s="49">
        <v>5</v>
      </c>
      <c r="AL164" s="48">
        <v>0</v>
      </c>
      <c r="AM164" s="49">
        <v>0</v>
      </c>
      <c r="AN164" s="48">
        <v>19</v>
      </c>
      <c r="AO164" s="49">
        <v>95</v>
      </c>
      <c r="AP164" s="48">
        <v>20</v>
      </c>
    </row>
    <row r="165" spans="1:42" ht="15">
      <c r="A165" s="66" t="s">
        <v>818</v>
      </c>
      <c r="B165" s="66" t="s">
        <v>818</v>
      </c>
      <c r="C165" s="67" t="s">
        <v>743</v>
      </c>
      <c r="D165" s="68">
        <v>3</v>
      </c>
      <c r="E165" s="69"/>
      <c r="F165" s="70">
        <v>50</v>
      </c>
      <c r="G165" s="67"/>
      <c r="H165" s="71"/>
      <c r="I165" s="72"/>
      <c r="J165" s="72"/>
      <c r="K165" s="34" t="s">
        <v>65</v>
      </c>
      <c r="L165" s="79">
        <v>165</v>
      </c>
      <c r="M165" s="79"/>
      <c r="N165" s="74"/>
      <c r="O165" s="90" t="s">
        <v>322</v>
      </c>
      <c r="P165" s="90" t="s">
        <v>324</v>
      </c>
      <c r="Q165" s="90" t="s">
        <v>1038</v>
      </c>
      <c r="R165" s="90" t="s">
        <v>818</v>
      </c>
      <c r="S165" s="90" t="s">
        <v>1125</v>
      </c>
      <c r="T165" s="93" t="str">
        <f>HYPERLINK("http://www.youtube.com/channel/UCSNwk1mZCxz0WkWk4C1AOog")</f>
        <v>http://www.youtube.com/channel/UCSNwk1mZCxz0WkWk4C1AOog</v>
      </c>
      <c r="U165" s="90" t="s">
        <v>1216</v>
      </c>
      <c r="V165" s="90" t="s">
        <v>1227</v>
      </c>
      <c r="W165" s="93" t="str">
        <f>HYPERLINK("https://www.youtube.com/watch?v=L3Ob_r4yk60")</f>
        <v>https://www.youtube.com/watch?v=L3Ob_r4yk60</v>
      </c>
      <c r="X165" s="90" t="s">
        <v>326</v>
      </c>
      <c r="Y165" s="90">
        <v>0</v>
      </c>
      <c r="Z165" s="96">
        <v>43917.353055555555</v>
      </c>
      <c r="AA165" s="96">
        <v>43917.35344907407</v>
      </c>
      <c r="AB165" s="90"/>
      <c r="AC165" s="90"/>
      <c r="AD165" s="90"/>
      <c r="AE165" s="90">
        <v>1</v>
      </c>
      <c r="AF165" s="89" t="str">
        <f>REPLACE(INDEX(GroupVertices[Group],MATCH(Edges[[#This Row],[Vertex 1]],GroupVertices[Vertex],0)),1,1,"")</f>
        <v>4</v>
      </c>
      <c r="AG165" s="89" t="str">
        <f>REPLACE(INDEX(GroupVertices[Group],MATCH(Edges[[#This Row],[Vertex 2]],GroupVertices[Vertex],0)),1,1,"")</f>
        <v>4</v>
      </c>
      <c r="AH165" s="48">
        <v>0</v>
      </c>
      <c r="AI165" s="49">
        <v>0</v>
      </c>
      <c r="AJ165" s="48">
        <v>4</v>
      </c>
      <c r="AK165" s="49">
        <v>6.0606060606060606</v>
      </c>
      <c r="AL165" s="48">
        <v>0</v>
      </c>
      <c r="AM165" s="49">
        <v>0</v>
      </c>
      <c r="AN165" s="48">
        <v>62</v>
      </c>
      <c r="AO165" s="49">
        <v>93.93939393939394</v>
      </c>
      <c r="AP165" s="48">
        <v>66</v>
      </c>
    </row>
    <row r="166" spans="1:42" ht="15">
      <c r="A166" s="66" t="s">
        <v>818</v>
      </c>
      <c r="B166" s="66" t="s">
        <v>876</v>
      </c>
      <c r="C166" s="67" t="s">
        <v>743</v>
      </c>
      <c r="D166" s="68">
        <v>3</v>
      </c>
      <c r="E166" s="69"/>
      <c r="F166" s="70">
        <v>50</v>
      </c>
      <c r="G166" s="67"/>
      <c r="H166" s="71"/>
      <c r="I166" s="72"/>
      <c r="J166" s="72"/>
      <c r="K166" s="34" t="s">
        <v>65</v>
      </c>
      <c r="L166" s="79">
        <v>166</v>
      </c>
      <c r="M166" s="79"/>
      <c r="N166" s="74"/>
      <c r="O166" s="90" t="s">
        <v>323</v>
      </c>
      <c r="P166" s="90" t="s">
        <v>308</v>
      </c>
      <c r="Q166" s="90" t="s">
        <v>1039</v>
      </c>
      <c r="R166" s="90" t="s">
        <v>818</v>
      </c>
      <c r="S166" s="90" t="s">
        <v>1125</v>
      </c>
      <c r="T166" s="93" t="str">
        <f>HYPERLINK("http://www.youtube.com/channel/UCSNwk1mZCxz0WkWk4C1AOog")</f>
        <v>http://www.youtube.com/channel/UCSNwk1mZCxz0WkWk4C1AOog</v>
      </c>
      <c r="U166" s="90"/>
      <c r="V166" s="90" t="s">
        <v>1227</v>
      </c>
      <c r="W166" s="93" t="str">
        <f>HYPERLINK("https://www.youtube.com/watch?v=L3Ob_r4yk60")</f>
        <v>https://www.youtube.com/watch?v=L3Ob_r4yk60</v>
      </c>
      <c r="X166" s="90" t="s">
        <v>326</v>
      </c>
      <c r="Y166" s="90">
        <v>4</v>
      </c>
      <c r="Z166" s="96">
        <v>43912.553715277776</v>
      </c>
      <c r="AA166" s="96">
        <v>43912.553715277776</v>
      </c>
      <c r="AB166" s="90"/>
      <c r="AC166" s="90"/>
      <c r="AD166" s="90"/>
      <c r="AE166" s="90">
        <v>1</v>
      </c>
      <c r="AF166" s="89" t="str">
        <f>REPLACE(INDEX(GroupVertices[Group],MATCH(Edges[[#This Row],[Vertex 1]],GroupVertices[Vertex],0)),1,1,"")</f>
        <v>4</v>
      </c>
      <c r="AG166" s="89" t="str">
        <f>REPLACE(INDEX(GroupVertices[Group],MATCH(Edges[[#This Row],[Vertex 2]],GroupVertices[Vertex],0)),1,1,"")</f>
        <v>1</v>
      </c>
      <c r="AH166" s="48">
        <v>1</v>
      </c>
      <c r="AI166" s="49">
        <v>3.4482758620689653</v>
      </c>
      <c r="AJ166" s="48">
        <v>0</v>
      </c>
      <c r="AK166" s="49">
        <v>0</v>
      </c>
      <c r="AL166" s="48">
        <v>0</v>
      </c>
      <c r="AM166" s="49">
        <v>0</v>
      </c>
      <c r="AN166" s="48">
        <v>28</v>
      </c>
      <c r="AO166" s="49">
        <v>96.55172413793103</v>
      </c>
      <c r="AP166" s="48">
        <v>29</v>
      </c>
    </row>
    <row r="167" spans="1:42" ht="15">
      <c r="A167" s="66" t="s">
        <v>832</v>
      </c>
      <c r="B167" s="66" t="s">
        <v>862</v>
      </c>
      <c r="C167" s="67" t="s">
        <v>743</v>
      </c>
      <c r="D167" s="68">
        <v>3</v>
      </c>
      <c r="E167" s="69"/>
      <c r="F167" s="70">
        <v>50</v>
      </c>
      <c r="G167" s="67"/>
      <c r="H167" s="71"/>
      <c r="I167" s="72"/>
      <c r="J167" s="72"/>
      <c r="K167" s="34" t="s">
        <v>65</v>
      </c>
      <c r="L167" s="79">
        <v>167</v>
      </c>
      <c r="M167" s="79"/>
      <c r="N167" s="74"/>
      <c r="O167" s="90" t="s">
        <v>322</v>
      </c>
      <c r="P167" s="90" t="s">
        <v>324</v>
      </c>
      <c r="Q167" s="90" t="s">
        <v>1040</v>
      </c>
      <c r="R167" s="90" t="s">
        <v>832</v>
      </c>
      <c r="S167" s="90" t="s">
        <v>1139</v>
      </c>
      <c r="T167" s="93" t="str">
        <f>HYPERLINK("http://www.youtube.com/channel/UCI4gPi01UDuazhDGJEVOwlg")</f>
        <v>http://www.youtube.com/channel/UCI4gPi01UDuazhDGJEVOwlg</v>
      </c>
      <c r="U167" s="90" t="s">
        <v>1217</v>
      </c>
      <c r="V167" s="90" t="s">
        <v>1227</v>
      </c>
      <c r="W167" s="93" t="str">
        <f>HYPERLINK("https://www.youtube.com/watch?v=L3Ob_r4yk60")</f>
        <v>https://www.youtube.com/watch?v=L3Ob_r4yk60</v>
      </c>
      <c r="X167" s="90" t="s">
        <v>326</v>
      </c>
      <c r="Y167" s="90">
        <v>5</v>
      </c>
      <c r="Z167" s="96">
        <v>43912.63700231481</v>
      </c>
      <c r="AA167" s="96">
        <v>43912.63700231481</v>
      </c>
      <c r="AB167" s="90"/>
      <c r="AC167" s="90"/>
      <c r="AD167" s="90"/>
      <c r="AE167" s="90">
        <v>1</v>
      </c>
      <c r="AF167" s="89" t="str">
        <f>REPLACE(INDEX(GroupVertices[Group],MATCH(Edges[[#This Row],[Vertex 1]],GroupVertices[Vertex],0)),1,1,"")</f>
        <v>2</v>
      </c>
      <c r="AG167" s="89" t="str">
        <f>REPLACE(INDEX(GroupVertices[Group],MATCH(Edges[[#This Row],[Vertex 2]],GroupVertices[Vertex],0)),1,1,"")</f>
        <v>2</v>
      </c>
      <c r="AH167" s="48">
        <v>0</v>
      </c>
      <c r="AI167" s="49">
        <v>0</v>
      </c>
      <c r="AJ167" s="48">
        <v>1</v>
      </c>
      <c r="AK167" s="49">
        <v>4</v>
      </c>
      <c r="AL167" s="48">
        <v>0</v>
      </c>
      <c r="AM167" s="49">
        <v>0</v>
      </c>
      <c r="AN167" s="48">
        <v>24</v>
      </c>
      <c r="AO167" s="49">
        <v>96</v>
      </c>
      <c r="AP167" s="48">
        <v>25</v>
      </c>
    </row>
    <row r="168" spans="1:42" ht="15">
      <c r="A168" s="66" t="s">
        <v>861</v>
      </c>
      <c r="B168" s="66" t="s">
        <v>862</v>
      </c>
      <c r="C168" s="67" t="s">
        <v>743</v>
      </c>
      <c r="D168" s="68">
        <v>3</v>
      </c>
      <c r="E168" s="69"/>
      <c r="F168" s="70">
        <v>50</v>
      </c>
      <c r="G168" s="67"/>
      <c r="H168" s="71"/>
      <c r="I168" s="72"/>
      <c r="J168" s="72"/>
      <c r="K168" s="34" t="s">
        <v>65</v>
      </c>
      <c r="L168" s="79">
        <v>168</v>
      </c>
      <c r="M168" s="79"/>
      <c r="N168" s="74"/>
      <c r="O168" s="90" t="s">
        <v>322</v>
      </c>
      <c r="P168" s="90" t="s">
        <v>324</v>
      </c>
      <c r="Q168" s="90" t="s">
        <v>1041</v>
      </c>
      <c r="R168" s="90" t="s">
        <v>861</v>
      </c>
      <c r="S168" s="90" t="s">
        <v>1168</v>
      </c>
      <c r="T168" s="93" t="str">
        <f>HYPERLINK("http://www.youtube.com/channel/UCTHYHmZPeIxA-AlMNciltmg")</f>
        <v>http://www.youtube.com/channel/UCTHYHmZPeIxA-AlMNciltmg</v>
      </c>
      <c r="U168" s="90" t="s">
        <v>1217</v>
      </c>
      <c r="V168" s="90" t="s">
        <v>1227</v>
      </c>
      <c r="W168" s="93" t="str">
        <f>HYPERLINK("https://www.youtube.com/watch?v=L3Ob_r4yk60")</f>
        <v>https://www.youtube.com/watch?v=L3Ob_r4yk60</v>
      </c>
      <c r="X168" s="90" t="s">
        <v>326</v>
      </c>
      <c r="Y168" s="90">
        <v>1</v>
      </c>
      <c r="Z168" s="96">
        <v>43912.66652777778</v>
      </c>
      <c r="AA168" s="96">
        <v>43912.66652777778</v>
      </c>
      <c r="AB168" s="90"/>
      <c r="AC168" s="90"/>
      <c r="AD168" s="90"/>
      <c r="AE168" s="90">
        <v>1</v>
      </c>
      <c r="AF168" s="89" t="str">
        <f>REPLACE(INDEX(GroupVertices[Group],MATCH(Edges[[#This Row],[Vertex 1]],GroupVertices[Vertex],0)),1,1,"")</f>
        <v>2</v>
      </c>
      <c r="AG168" s="89" t="str">
        <f>REPLACE(INDEX(GroupVertices[Group],MATCH(Edges[[#This Row],[Vertex 2]],GroupVertices[Vertex],0)),1,1,"")</f>
        <v>2</v>
      </c>
      <c r="AH168" s="48">
        <v>0</v>
      </c>
      <c r="AI168" s="49">
        <v>0</v>
      </c>
      <c r="AJ168" s="48">
        <v>0</v>
      </c>
      <c r="AK168" s="49">
        <v>0</v>
      </c>
      <c r="AL168" s="48">
        <v>0</v>
      </c>
      <c r="AM168" s="49">
        <v>0</v>
      </c>
      <c r="AN168" s="48">
        <v>10</v>
      </c>
      <c r="AO168" s="49">
        <v>100</v>
      </c>
      <c r="AP168" s="48">
        <v>10</v>
      </c>
    </row>
    <row r="169" spans="1:42" ht="15">
      <c r="A169" s="66" t="s">
        <v>815</v>
      </c>
      <c r="B169" s="66" t="s">
        <v>862</v>
      </c>
      <c r="C169" s="67" t="s">
        <v>743</v>
      </c>
      <c r="D169" s="68">
        <v>3</v>
      </c>
      <c r="E169" s="69"/>
      <c r="F169" s="70">
        <v>50</v>
      </c>
      <c r="G169" s="67"/>
      <c r="H169" s="71"/>
      <c r="I169" s="72"/>
      <c r="J169" s="72"/>
      <c r="K169" s="34" t="s">
        <v>65</v>
      </c>
      <c r="L169" s="79">
        <v>169</v>
      </c>
      <c r="M169" s="79"/>
      <c r="N169" s="74"/>
      <c r="O169" s="90" t="s">
        <v>322</v>
      </c>
      <c r="P169" s="90" t="s">
        <v>324</v>
      </c>
      <c r="Q169" s="90" t="s">
        <v>1042</v>
      </c>
      <c r="R169" s="90" t="s">
        <v>815</v>
      </c>
      <c r="S169" s="90" t="s">
        <v>1122</v>
      </c>
      <c r="T169" s="93" t="str">
        <f>HYPERLINK("http://www.youtube.com/channel/UCBwIvSHzNL5sWjN0hcFGb2g")</f>
        <v>http://www.youtube.com/channel/UCBwIvSHzNL5sWjN0hcFGb2g</v>
      </c>
      <c r="U169" s="90" t="s">
        <v>1217</v>
      </c>
      <c r="V169" s="90" t="s">
        <v>1227</v>
      </c>
      <c r="W169" s="93" t="str">
        <f>HYPERLINK("https://www.youtube.com/watch?v=L3Ob_r4yk60")</f>
        <v>https://www.youtube.com/watch?v=L3Ob_r4yk60</v>
      </c>
      <c r="X169" s="90" t="s">
        <v>326</v>
      </c>
      <c r="Y169" s="90">
        <v>6</v>
      </c>
      <c r="Z169" s="96">
        <v>43912.678194444445</v>
      </c>
      <c r="AA169" s="96">
        <v>43912.678194444445</v>
      </c>
      <c r="AB169" s="90"/>
      <c r="AC169" s="90"/>
      <c r="AD169" s="90"/>
      <c r="AE169" s="90">
        <v>1</v>
      </c>
      <c r="AF169" s="89" t="str">
        <f>REPLACE(INDEX(GroupVertices[Group],MATCH(Edges[[#This Row],[Vertex 1]],GroupVertices[Vertex],0)),1,1,"")</f>
        <v>2</v>
      </c>
      <c r="AG169" s="89" t="str">
        <f>REPLACE(INDEX(GroupVertices[Group],MATCH(Edges[[#This Row],[Vertex 2]],GroupVertices[Vertex],0)),1,1,"")</f>
        <v>2</v>
      </c>
      <c r="AH169" s="48">
        <v>1</v>
      </c>
      <c r="AI169" s="49">
        <v>9.090909090909092</v>
      </c>
      <c r="AJ169" s="48">
        <v>1</v>
      </c>
      <c r="AK169" s="49">
        <v>9.090909090909092</v>
      </c>
      <c r="AL169" s="48">
        <v>0</v>
      </c>
      <c r="AM169" s="49">
        <v>0</v>
      </c>
      <c r="AN169" s="48">
        <v>9</v>
      </c>
      <c r="AO169" s="49">
        <v>81.81818181818181</v>
      </c>
      <c r="AP169" s="48">
        <v>11</v>
      </c>
    </row>
    <row r="170" spans="1:42" ht="15">
      <c r="A170" s="66" t="s">
        <v>833</v>
      </c>
      <c r="B170" s="66" t="s">
        <v>862</v>
      </c>
      <c r="C170" s="67" t="s">
        <v>743</v>
      </c>
      <c r="D170" s="68">
        <v>3</v>
      </c>
      <c r="E170" s="69"/>
      <c r="F170" s="70">
        <v>50</v>
      </c>
      <c r="G170" s="67"/>
      <c r="H170" s="71"/>
      <c r="I170" s="72"/>
      <c r="J170" s="72"/>
      <c r="K170" s="34" t="s">
        <v>65</v>
      </c>
      <c r="L170" s="79">
        <v>170</v>
      </c>
      <c r="M170" s="79"/>
      <c r="N170" s="74"/>
      <c r="O170" s="90" t="s">
        <v>322</v>
      </c>
      <c r="P170" s="90" t="s">
        <v>324</v>
      </c>
      <c r="Q170" s="90" t="s">
        <v>1043</v>
      </c>
      <c r="R170" s="90" t="s">
        <v>833</v>
      </c>
      <c r="S170" s="90" t="s">
        <v>1140</v>
      </c>
      <c r="T170" s="93" t="str">
        <f>HYPERLINK("http://www.youtube.com/channel/UCm7F1hYnkmFqIf7Ee5fx4PQ")</f>
        <v>http://www.youtube.com/channel/UCm7F1hYnkmFqIf7Ee5fx4PQ</v>
      </c>
      <c r="U170" s="90" t="s">
        <v>1217</v>
      </c>
      <c r="V170" s="90" t="s">
        <v>1227</v>
      </c>
      <c r="W170" s="93" t="str">
        <f>HYPERLINK("https://www.youtube.com/watch?v=L3Ob_r4yk60")</f>
        <v>https://www.youtube.com/watch?v=L3Ob_r4yk60</v>
      </c>
      <c r="X170" s="90" t="s">
        <v>326</v>
      </c>
      <c r="Y170" s="90">
        <v>1</v>
      </c>
      <c r="Z170" s="96">
        <v>43912.65997685185</v>
      </c>
      <c r="AA170" s="96">
        <v>43912.65997685185</v>
      </c>
      <c r="AB170" s="90"/>
      <c r="AC170" s="90"/>
      <c r="AD170" s="90"/>
      <c r="AE170" s="90">
        <v>1</v>
      </c>
      <c r="AF170" s="89" t="str">
        <f>REPLACE(INDEX(GroupVertices[Group],MATCH(Edges[[#This Row],[Vertex 1]],GroupVertices[Vertex],0)),1,1,"")</f>
        <v>4</v>
      </c>
      <c r="AG170" s="89" t="str">
        <f>REPLACE(INDEX(GroupVertices[Group],MATCH(Edges[[#This Row],[Vertex 2]],GroupVertices[Vertex],0)),1,1,"")</f>
        <v>2</v>
      </c>
      <c r="AH170" s="48">
        <v>0</v>
      </c>
      <c r="AI170" s="49">
        <v>0</v>
      </c>
      <c r="AJ170" s="48">
        <v>0</v>
      </c>
      <c r="AK170" s="49">
        <v>0</v>
      </c>
      <c r="AL170" s="48">
        <v>0</v>
      </c>
      <c r="AM170" s="49">
        <v>0</v>
      </c>
      <c r="AN170" s="48">
        <v>8</v>
      </c>
      <c r="AO170" s="49">
        <v>100</v>
      </c>
      <c r="AP170" s="48">
        <v>8</v>
      </c>
    </row>
    <row r="171" spans="1:42" ht="15">
      <c r="A171" s="66" t="s">
        <v>862</v>
      </c>
      <c r="B171" s="66" t="s">
        <v>876</v>
      </c>
      <c r="C171" s="67" t="s">
        <v>743</v>
      </c>
      <c r="D171" s="68">
        <v>3</v>
      </c>
      <c r="E171" s="69"/>
      <c r="F171" s="70">
        <v>50</v>
      </c>
      <c r="G171" s="67"/>
      <c r="H171" s="71"/>
      <c r="I171" s="72"/>
      <c r="J171" s="72"/>
      <c r="K171" s="34" t="s">
        <v>65</v>
      </c>
      <c r="L171" s="79">
        <v>171</v>
      </c>
      <c r="M171" s="79"/>
      <c r="N171" s="74"/>
      <c r="O171" s="90" t="s">
        <v>323</v>
      </c>
      <c r="P171" s="90" t="s">
        <v>308</v>
      </c>
      <c r="Q171" s="90" t="s">
        <v>1044</v>
      </c>
      <c r="R171" s="90" t="s">
        <v>862</v>
      </c>
      <c r="S171" s="90" t="s">
        <v>1169</v>
      </c>
      <c r="T171" s="93" t="str">
        <f>HYPERLINK("http://www.youtube.com/channel/UCiGuh8-uiYsSgzL7Vro6EUg")</f>
        <v>http://www.youtube.com/channel/UCiGuh8-uiYsSgzL7Vro6EUg</v>
      </c>
      <c r="U171" s="90"/>
      <c r="V171" s="90" t="s">
        <v>1227</v>
      </c>
      <c r="W171" s="93" t="str">
        <f>HYPERLINK("https://www.youtube.com/watch?v=L3Ob_r4yk60")</f>
        <v>https://www.youtube.com/watch?v=L3Ob_r4yk60</v>
      </c>
      <c r="X171" s="90" t="s">
        <v>326</v>
      </c>
      <c r="Y171" s="90">
        <v>33</v>
      </c>
      <c r="Z171" s="96">
        <v>43912.562048611115</v>
      </c>
      <c r="AA171" s="96">
        <v>43912.562048611115</v>
      </c>
      <c r="AB171" s="90"/>
      <c r="AC171" s="90"/>
      <c r="AD171" s="90"/>
      <c r="AE171" s="90">
        <v>1</v>
      </c>
      <c r="AF171" s="89" t="str">
        <f>REPLACE(INDEX(GroupVertices[Group],MATCH(Edges[[#This Row],[Vertex 1]],GroupVertices[Vertex],0)),1,1,"")</f>
        <v>2</v>
      </c>
      <c r="AG171" s="89" t="str">
        <f>REPLACE(INDEX(GroupVertices[Group],MATCH(Edges[[#This Row],[Vertex 2]],GroupVertices[Vertex],0)),1,1,"")</f>
        <v>1</v>
      </c>
      <c r="AH171" s="48">
        <v>2</v>
      </c>
      <c r="AI171" s="49">
        <v>2</v>
      </c>
      <c r="AJ171" s="48">
        <v>1</v>
      </c>
      <c r="AK171" s="49">
        <v>1</v>
      </c>
      <c r="AL171" s="48">
        <v>0</v>
      </c>
      <c r="AM171" s="49">
        <v>0</v>
      </c>
      <c r="AN171" s="48">
        <v>97</v>
      </c>
      <c r="AO171" s="49">
        <v>97</v>
      </c>
      <c r="AP171" s="48">
        <v>100</v>
      </c>
    </row>
    <row r="172" spans="1:42" ht="15">
      <c r="A172" s="66" t="s">
        <v>833</v>
      </c>
      <c r="B172" s="66" t="s">
        <v>864</v>
      </c>
      <c r="C172" s="67" t="s">
        <v>743</v>
      </c>
      <c r="D172" s="68">
        <v>3</v>
      </c>
      <c r="E172" s="69"/>
      <c r="F172" s="70">
        <v>50</v>
      </c>
      <c r="G172" s="67"/>
      <c r="H172" s="71"/>
      <c r="I172" s="72"/>
      <c r="J172" s="72"/>
      <c r="K172" s="34" t="s">
        <v>65</v>
      </c>
      <c r="L172" s="79">
        <v>172</v>
      </c>
      <c r="M172" s="79"/>
      <c r="N172" s="74"/>
      <c r="O172" s="90" t="s">
        <v>322</v>
      </c>
      <c r="P172" s="90" t="s">
        <v>324</v>
      </c>
      <c r="Q172" s="90" t="s">
        <v>1045</v>
      </c>
      <c r="R172" s="90" t="s">
        <v>833</v>
      </c>
      <c r="S172" s="90" t="s">
        <v>1140</v>
      </c>
      <c r="T172" s="93" t="str">
        <f>HYPERLINK("http://www.youtube.com/channel/UCm7F1hYnkmFqIf7Ee5fx4PQ")</f>
        <v>http://www.youtube.com/channel/UCm7F1hYnkmFqIf7Ee5fx4PQ</v>
      </c>
      <c r="U172" s="90" t="s">
        <v>1218</v>
      </c>
      <c r="V172" s="90" t="s">
        <v>1227</v>
      </c>
      <c r="W172" s="93" t="str">
        <f>HYPERLINK("https://www.youtube.com/watch?v=L3Ob_r4yk60")</f>
        <v>https://www.youtube.com/watch?v=L3Ob_r4yk60</v>
      </c>
      <c r="X172" s="90" t="s">
        <v>326</v>
      </c>
      <c r="Y172" s="90">
        <v>2</v>
      </c>
      <c r="Z172" s="96">
        <v>43912.66034722222</v>
      </c>
      <c r="AA172" s="96">
        <v>43912.66034722222</v>
      </c>
      <c r="AB172" s="90"/>
      <c r="AC172" s="90"/>
      <c r="AD172" s="90"/>
      <c r="AE172" s="90">
        <v>1</v>
      </c>
      <c r="AF172" s="89" t="str">
        <f>REPLACE(INDEX(GroupVertices[Group],MATCH(Edges[[#This Row],[Vertex 1]],GroupVertices[Vertex],0)),1,1,"")</f>
        <v>4</v>
      </c>
      <c r="AG172" s="89" t="str">
        <f>REPLACE(INDEX(GroupVertices[Group],MATCH(Edges[[#This Row],[Vertex 2]],GroupVertices[Vertex],0)),1,1,"")</f>
        <v>4</v>
      </c>
      <c r="AH172" s="48">
        <v>0</v>
      </c>
      <c r="AI172" s="49">
        <v>0</v>
      </c>
      <c r="AJ172" s="48">
        <v>0</v>
      </c>
      <c r="AK172" s="49">
        <v>0</v>
      </c>
      <c r="AL172" s="48">
        <v>0</v>
      </c>
      <c r="AM172" s="49">
        <v>0</v>
      </c>
      <c r="AN172" s="48">
        <v>3</v>
      </c>
      <c r="AO172" s="49">
        <v>100</v>
      </c>
      <c r="AP172" s="48">
        <v>3</v>
      </c>
    </row>
    <row r="173" spans="1:42" ht="15">
      <c r="A173" s="66" t="s">
        <v>863</v>
      </c>
      <c r="B173" s="66" t="s">
        <v>864</v>
      </c>
      <c r="C173" s="67" t="s">
        <v>743</v>
      </c>
      <c r="D173" s="68">
        <v>3</v>
      </c>
      <c r="E173" s="69"/>
      <c r="F173" s="70">
        <v>50</v>
      </c>
      <c r="G173" s="67"/>
      <c r="H173" s="71"/>
      <c r="I173" s="72"/>
      <c r="J173" s="72"/>
      <c r="K173" s="34" t="s">
        <v>65</v>
      </c>
      <c r="L173" s="79">
        <v>173</v>
      </c>
      <c r="M173" s="79"/>
      <c r="N173" s="74"/>
      <c r="O173" s="90" t="s">
        <v>322</v>
      </c>
      <c r="P173" s="90" t="s">
        <v>324</v>
      </c>
      <c r="Q173" s="90" t="s">
        <v>1046</v>
      </c>
      <c r="R173" s="90" t="s">
        <v>863</v>
      </c>
      <c r="S173" s="90" t="s">
        <v>1170</v>
      </c>
      <c r="T173" s="93" t="str">
        <f>HYPERLINK("http://www.youtube.com/channel/UCcTqVddA3x4PKTyY7nAuUqQ")</f>
        <v>http://www.youtube.com/channel/UCcTqVddA3x4PKTyY7nAuUqQ</v>
      </c>
      <c r="U173" s="90" t="s">
        <v>1218</v>
      </c>
      <c r="V173" s="90" t="s">
        <v>1227</v>
      </c>
      <c r="W173" s="93" t="str">
        <f>HYPERLINK("https://www.youtube.com/watch?v=L3Ob_r4yk60")</f>
        <v>https://www.youtube.com/watch?v=L3Ob_r4yk60</v>
      </c>
      <c r="X173" s="90" t="s">
        <v>326</v>
      </c>
      <c r="Y173" s="90">
        <v>2</v>
      </c>
      <c r="Z173" s="96">
        <v>43912.67387731482</v>
      </c>
      <c r="AA173" s="96">
        <v>43912.67387731482</v>
      </c>
      <c r="AB173" s="90"/>
      <c r="AC173" s="90"/>
      <c r="AD173" s="90"/>
      <c r="AE173" s="90">
        <v>1</v>
      </c>
      <c r="AF173" s="89" t="str">
        <f>REPLACE(INDEX(GroupVertices[Group],MATCH(Edges[[#This Row],[Vertex 1]],GroupVertices[Vertex],0)),1,1,"")</f>
        <v>4</v>
      </c>
      <c r="AG173" s="89" t="str">
        <f>REPLACE(INDEX(GroupVertices[Group],MATCH(Edges[[#This Row],[Vertex 2]],GroupVertices[Vertex],0)),1,1,"")</f>
        <v>4</v>
      </c>
      <c r="AH173" s="48">
        <v>2</v>
      </c>
      <c r="AI173" s="49">
        <v>3.0303030303030303</v>
      </c>
      <c r="AJ173" s="48">
        <v>2</v>
      </c>
      <c r="AK173" s="49">
        <v>3.0303030303030303</v>
      </c>
      <c r="AL173" s="48">
        <v>0</v>
      </c>
      <c r="AM173" s="49">
        <v>0</v>
      </c>
      <c r="AN173" s="48">
        <v>62</v>
      </c>
      <c r="AO173" s="49">
        <v>93.93939393939394</v>
      </c>
      <c r="AP173" s="48">
        <v>66</v>
      </c>
    </row>
    <row r="174" spans="1:42" ht="15">
      <c r="A174" s="66" t="s">
        <v>864</v>
      </c>
      <c r="B174" s="66" t="s">
        <v>864</v>
      </c>
      <c r="C174" s="67" t="s">
        <v>744</v>
      </c>
      <c r="D174" s="68">
        <v>10</v>
      </c>
      <c r="E174" s="69"/>
      <c r="F174" s="70">
        <v>20</v>
      </c>
      <c r="G174" s="67"/>
      <c r="H174" s="71"/>
      <c r="I174" s="72"/>
      <c r="J174" s="72"/>
      <c r="K174" s="34" t="s">
        <v>65</v>
      </c>
      <c r="L174" s="79">
        <v>174</v>
      </c>
      <c r="M174" s="79"/>
      <c r="N174" s="74"/>
      <c r="O174" s="90" t="s">
        <v>322</v>
      </c>
      <c r="P174" s="90" t="s">
        <v>324</v>
      </c>
      <c r="Q174" s="90" t="s">
        <v>1047</v>
      </c>
      <c r="R174" s="90" t="s">
        <v>864</v>
      </c>
      <c r="S174" s="90" t="s">
        <v>1171</v>
      </c>
      <c r="T174" s="93" t="str">
        <f>HYPERLINK("http://www.youtube.com/channel/UCMOnVaVjpGTfnRXkGyE1mGw")</f>
        <v>http://www.youtube.com/channel/UCMOnVaVjpGTfnRXkGyE1mGw</v>
      </c>
      <c r="U174" s="90" t="s">
        <v>1218</v>
      </c>
      <c r="V174" s="90" t="s">
        <v>1227</v>
      </c>
      <c r="W174" s="93" t="str">
        <f>HYPERLINK("https://www.youtube.com/watch?v=L3Ob_r4yk60")</f>
        <v>https://www.youtube.com/watch?v=L3Ob_r4yk60</v>
      </c>
      <c r="X174" s="90" t="s">
        <v>326</v>
      </c>
      <c r="Y174" s="90">
        <v>1</v>
      </c>
      <c r="Z174" s="96">
        <v>43912.66504629629</v>
      </c>
      <c r="AA174" s="96">
        <v>43912.66504629629</v>
      </c>
      <c r="AB174" s="90"/>
      <c r="AC174" s="90"/>
      <c r="AD174" s="90"/>
      <c r="AE174" s="90">
        <v>2</v>
      </c>
      <c r="AF174" s="89" t="str">
        <f>REPLACE(INDEX(GroupVertices[Group],MATCH(Edges[[#This Row],[Vertex 1]],GroupVertices[Vertex],0)),1,1,"")</f>
        <v>4</v>
      </c>
      <c r="AG174" s="89" t="str">
        <f>REPLACE(INDEX(GroupVertices[Group],MATCH(Edges[[#This Row],[Vertex 2]],GroupVertices[Vertex],0)),1,1,"")</f>
        <v>4</v>
      </c>
      <c r="AH174" s="48">
        <v>0</v>
      </c>
      <c r="AI174" s="49">
        <v>0</v>
      </c>
      <c r="AJ174" s="48">
        <v>0</v>
      </c>
      <c r="AK174" s="49">
        <v>0</v>
      </c>
      <c r="AL174" s="48">
        <v>0</v>
      </c>
      <c r="AM174" s="49">
        <v>0</v>
      </c>
      <c r="AN174" s="48">
        <v>12</v>
      </c>
      <c r="AO174" s="49">
        <v>100</v>
      </c>
      <c r="AP174" s="48">
        <v>12</v>
      </c>
    </row>
    <row r="175" spans="1:42" ht="15">
      <c r="A175" s="66" t="s">
        <v>864</v>
      </c>
      <c r="B175" s="66" t="s">
        <v>864</v>
      </c>
      <c r="C175" s="67" t="s">
        <v>744</v>
      </c>
      <c r="D175" s="68">
        <v>10</v>
      </c>
      <c r="E175" s="69"/>
      <c r="F175" s="70">
        <v>20</v>
      </c>
      <c r="G175" s="67"/>
      <c r="H175" s="71"/>
      <c r="I175" s="72"/>
      <c r="J175" s="72"/>
      <c r="K175" s="34" t="s">
        <v>65</v>
      </c>
      <c r="L175" s="79">
        <v>175</v>
      </c>
      <c r="M175" s="79"/>
      <c r="N175" s="74"/>
      <c r="O175" s="90" t="s">
        <v>322</v>
      </c>
      <c r="P175" s="90" t="s">
        <v>324</v>
      </c>
      <c r="Q175" s="90" t="s">
        <v>1048</v>
      </c>
      <c r="R175" s="90" t="s">
        <v>864</v>
      </c>
      <c r="S175" s="90" t="s">
        <v>1171</v>
      </c>
      <c r="T175" s="93" t="str">
        <f>HYPERLINK("http://www.youtube.com/channel/UCMOnVaVjpGTfnRXkGyE1mGw")</f>
        <v>http://www.youtube.com/channel/UCMOnVaVjpGTfnRXkGyE1mGw</v>
      </c>
      <c r="U175" s="90" t="s">
        <v>1218</v>
      </c>
      <c r="V175" s="90" t="s">
        <v>1227</v>
      </c>
      <c r="W175" s="93" t="str">
        <f>HYPERLINK("https://www.youtube.com/watch?v=L3Ob_r4yk60")</f>
        <v>https://www.youtube.com/watch?v=L3Ob_r4yk60</v>
      </c>
      <c r="X175" s="90" t="s">
        <v>326</v>
      </c>
      <c r="Y175" s="90">
        <v>1</v>
      </c>
      <c r="Z175" s="96">
        <v>43912.72008101852</v>
      </c>
      <c r="AA175" s="96">
        <v>43912.72008101852</v>
      </c>
      <c r="AB175" s="90"/>
      <c r="AC175" s="90"/>
      <c r="AD175" s="90"/>
      <c r="AE175" s="90">
        <v>2</v>
      </c>
      <c r="AF175" s="89" t="str">
        <f>REPLACE(INDEX(GroupVertices[Group],MATCH(Edges[[#This Row],[Vertex 1]],GroupVertices[Vertex],0)),1,1,"")</f>
        <v>4</v>
      </c>
      <c r="AG175" s="89" t="str">
        <f>REPLACE(INDEX(GroupVertices[Group],MATCH(Edges[[#This Row],[Vertex 2]],GroupVertices[Vertex],0)),1,1,"")</f>
        <v>4</v>
      </c>
      <c r="AH175" s="48">
        <v>0</v>
      </c>
      <c r="AI175" s="49">
        <v>0</v>
      </c>
      <c r="AJ175" s="48">
        <v>2</v>
      </c>
      <c r="AK175" s="49">
        <v>4.3478260869565215</v>
      </c>
      <c r="AL175" s="48">
        <v>0</v>
      </c>
      <c r="AM175" s="49">
        <v>0</v>
      </c>
      <c r="AN175" s="48">
        <v>44</v>
      </c>
      <c r="AO175" s="49">
        <v>95.65217391304348</v>
      </c>
      <c r="AP175" s="48">
        <v>46</v>
      </c>
    </row>
    <row r="176" spans="1:42" ht="15">
      <c r="A176" s="66" t="s">
        <v>864</v>
      </c>
      <c r="B176" s="66" t="s">
        <v>876</v>
      </c>
      <c r="C176" s="67" t="s">
        <v>743</v>
      </c>
      <c r="D176" s="68">
        <v>3</v>
      </c>
      <c r="E176" s="69"/>
      <c r="F176" s="70">
        <v>50</v>
      </c>
      <c r="G176" s="67"/>
      <c r="H176" s="71"/>
      <c r="I176" s="72"/>
      <c r="J176" s="72"/>
      <c r="K176" s="34" t="s">
        <v>65</v>
      </c>
      <c r="L176" s="79">
        <v>176</v>
      </c>
      <c r="M176" s="79"/>
      <c r="N176" s="74"/>
      <c r="O176" s="90" t="s">
        <v>323</v>
      </c>
      <c r="P176" s="90" t="s">
        <v>308</v>
      </c>
      <c r="Q176" s="90" t="s">
        <v>1049</v>
      </c>
      <c r="R176" s="90" t="s">
        <v>864</v>
      </c>
      <c r="S176" s="90" t="s">
        <v>1171</v>
      </c>
      <c r="T176" s="93" t="str">
        <f>HYPERLINK("http://www.youtube.com/channel/UCMOnVaVjpGTfnRXkGyE1mGw")</f>
        <v>http://www.youtube.com/channel/UCMOnVaVjpGTfnRXkGyE1mGw</v>
      </c>
      <c r="U176" s="90"/>
      <c r="V176" s="90" t="s">
        <v>1227</v>
      </c>
      <c r="W176" s="93" t="str">
        <f>HYPERLINK("https://www.youtube.com/watch?v=L3Ob_r4yk60")</f>
        <v>https://www.youtube.com/watch?v=L3Ob_r4yk60</v>
      </c>
      <c r="X176" s="90" t="s">
        <v>326</v>
      </c>
      <c r="Y176" s="90">
        <v>40</v>
      </c>
      <c r="Z176" s="96">
        <v>43912.568773148145</v>
      </c>
      <c r="AA176" s="96">
        <v>43912.568773148145</v>
      </c>
      <c r="AB176" s="90"/>
      <c r="AC176" s="90"/>
      <c r="AD176" s="90"/>
      <c r="AE176" s="90">
        <v>1</v>
      </c>
      <c r="AF176" s="89" t="str">
        <f>REPLACE(INDEX(GroupVertices[Group],MATCH(Edges[[#This Row],[Vertex 1]],GroupVertices[Vertex],0)),1,1,"")</f>
        <v>4</v>
      </c>
      <c r="AG176" s="89" t="str">
        <f>REPLACE(INDEX(GroupVertices[Group],MATCH(Edges[[#This Row],[Vertex 2]],GroupVertices[Vertex],0)),1,1,"")</f>
        <v>1</v>
      </c>
      <c r="AH176" s="48">
        <v>4</v>
      </c>
      <c r="AI176" s="49">
        <v>3.8461538461538463</v>
      </c>
      <c r="AJ176" s="48">
        <v>5</v>
      </c>
      <c r="AK176" s="49">
        <v>4.8076923076923075</v>
      </c>
      <c r="AL176" s="48">
        <v>0</v>
      </c>
      <c r="AM176" s="49">
        <v>0</v>
      </c>
      <c r="AN176" s="48">
        <v>95</v>
      </c>
      <c r="AO176" s="49">
        <v>91.34615384615384</v>
      </c>
      <c r="AP176" s="48">
        <v>104</v>
      </c>
    </row>
    <row r="177" spans="1:42" ht="15">
      <c r="A177" s="66" t="s">
        <v>865</v>
      </c>
      <c r="B177" s="66" t="s">
        <v>866</v>
      </c>
      <c r="C177" s="67" t="s">
        <v>743</v>
      </c>
      <c r="D177" s="68">
        <v>3</v>
      </c>
      <c r="E177" s="69"/>
      <c r="F177" s="70">
        <v>50</v>
      </c>
      <c r="G177" s="67"/>
      <c r="H177" s="71"/>
      <c r="I177" s="72"/>
      <c r="J177" s="72"/>
      <c r="K177" s="34" t="s">
        <v>65</v>
      </c>
      <c r="L177" s="79">
        <v>177</v>
      </c>
      <c r="M177" s="79"/>
      <c r="N177" s="74"/>
      <c r="O177" s="90" t="s">
        <v>322</v>
      </c>
      <c r="P177" s="90" t="s">
        <v>324</v>
      </c>
      <c r="Q177" s="90" t="s">
        <v>1050</v>
      </c>
      <c r="R177" s="90" t="s">
        <v>865</v>
      </c>
      <c r="S177" s="90" t="s">
        <v>1172</v>
      </c>
      <c r="T177" s="93" t="str">
        <f>HYPERLINK("http://www.youtube.com/channel/UCpQAwMfpP9MISSUuRRIxA0A")</f>
        <v>http://www.youtube.com/channel/UCpQAwMfpP9MISSUuRRIxA0A</v>
      </c>
      <c r="U177" s="90" t="s">
        <v>1219</v>
      </c>
      <c r="V177" s="90" t="s">
        <v>1227</v>
      </c>
      <c r="W177" s="93" t="str">
        <f>HYPERLINK("https://www.youtube.com/watch?v=L3Ob_r4yk60")</f>
        <v>https://www.youtube.com/watch?v=L3Ob_r4yk60</v>
      </c>
      <c r="X177" s="90" t="s">
        <v>326</v>
      </c>
      <c r="Y177" s="90">
        <v>1</v>
      </c>
      <c r="Z177" s="96">
        <v>43913.78438657407</v>
      </c>
      <c r="AA177" s="96">
        <v>43913.78438657407</v>
      </c>
      <c r="AB177" s="90"/>
      <c r="AC177" s="90"/>
      <c r="AD177" s="90"/>
      <c r="AE177" s="90">
        <v>1</v>
      </c>
      <c r="AF177" s="89" t="str">
        <f>REPLACE(INDEX(GroupVertices[Group],MATCH(Edges[[#This Row],[Vertex 1]],GroupVertices[Vertex],0)),1,1,"")</f>
        <v>1</v>
      </c>
      <c r="AG177" s="89" t="str">
        <f>REPLACE(INDEX(GroupVertices[Group],MATCH(Edges[[#This Row],[Vertex 2]],GroupVertices[Vertex],0)),1,1,"")</f>
        <v>1</v>
      </c>
      <c r="AH177" s="48">
        <v>1</v>
      </c>
      <c r="AI177" s="49">
        <v>50</v>
      </c>
      <c r="AJ177" s="48">
        <v>0</v>
      </c>
      <c r="AK177" s="49">
        <v>0</v>
      </c>
      <c r="AL177" s="48">
        <v>0</v>
      </c>
      <c r="AM177" s="49">
        <v>0</v>
      </c>
      <c r="AN177" s="48">
        <v>1</v>
      </c>
      <c r="AO177" s="49">
        <v>50</v>
      </c>
      <c r="AP177" s="48">
        <v>2</v>
      </c>
    </row>
    <row r="178" spans="1:42" ht="15">
      <c r="A178" s="66" t="s">
        <v>866</v>
      </c>
      <c r="B178" s="66" t="s">
        <v>876</v>
      </c>
      <c r="C178" s="67" t="s">
        <v>743</v>
      </c>
      <c r="D178" s="68">
        <v>3</v>
      </c>
      <c r="E178" s="69"/>
      <c r="F178" s="70">
        <v>50</v>
      </c>
      <c r="G178" s="67"/>
      <c r="H178" s="71"/>
      <c r="I178" s="72"/>
      <c r="J178" s="72"/>
      <c r="K178" s="34" t="s">
        <v>65</v>
      </c>
      <c r="L178" s="79">
        <v>178</v>
      </c>
      <c r="M178" s="79"/>
      <c r="N178" s="74"/>
      <c r="O178" s="90" t="s">
        <v>323</v>
      </c>
      <c r="P178" s="90" t="s">
        <v>308</v>
      </c>
      <c r="Q178" s="90" t="s">
        <v>1051</v>
      </c>
      <c r="R178" s="90" t="s">
        <v>866</v>
      </c>
      <c r="S178" s="90" t="s">
        <v>1173</v>
      </c>
      <c r="T178" s="93" t="str">
        <f>HYPERLINK("http://www.youtube.com/channel/UCEopbtSohnnWPvLmugfC_4Q")</f>
        <v>http://www.youtube.com/channel/UCEopbtSohnnWPvLmugfC_4Q</v>
      </c>
      <c r="U178" s="90"/>
      <c r="V178" s="90" t="s">
        <v>1227</v>
      </c>
      <c r="W178" s="93" t="str">
        <f>HYPERLINK("https://www.youtube.com/watch?v=L3Ob_r4yk60")</f>
        <v>https://www.youtube.com/watch?v=L3Ob_r4yk60</v>
      </c>
      <c r="X178" s="90" t="s">
        <v>326</v>
      </c>
      <c r="Y178" s="90">
        <v>52</v>
      </c>
      <c r="Z178" s="96">
        <v>43912.57726851852</v>
      </c>
      <c r="AA178" s="96">
        <v>43912.57726851852</v>
      </c>
      <c r="AB178" s="90"/>
      <c r="AC178" s="90"/>
      <c r="AD178" s="90"/>
      <c r="AE178" s="90">
        <v>1</v>
      </c>
      <c r="AF178" s="89" t="str">
        <f>REPLACE(INDEX(GroupVertices[Group],MATCH(Edges[[#This Row],[Vertex 1]],GroupVertices[Vertex],0)),1,1,"")</f>
        <v>1</v>
      </c>
      <c r="AG178" s="89" t="str">
        <f>REPLACE(INDEX(GroupVertices[Group],MATCH(Edges[[#This Row],[Vertex 2]],GroupVertices[Vertex],0)),1,1,"")</f>
        <v>1</v>
      </c>
      <c r="AH178" s="48">
        <v>0</v>
      </c>
      <c r="AI178" s="49">
        <v>0</v>
      </c>
      <c r="AJ178" s="48">
        <v>1</v>
      </c>
      <c r="AK178" s="49">
        <v>5.882352941176471</v>
      </c>
      <c r="AL178" s="48">
        <v>0</v>
      </c>
      <c r="AM178" s="49">
        <v>0</v>
      </c>
      <c r="AN178" s="48">
        <v>16</v>
      </c>
      <c r="AO178" s="49">
        <v>94.11764705882354</v>
      </c>
      <c r="AP178" s="48">
        <v>17</v>
      </c>
    </row>
    <row r="179" spans="1:42" ht="15">
      <c r="A179" s="66" t="s">
        <v>867</v>
      </c>
      <c r="B179" s="66" t="s">
        <v>869</v>
      </c>
      <c r="C179" s="67" t="s">
        <v>743</v>
      </c>
      <c r="D179" s="68">
        <v>3</v>
      </c>
      <c r="E179" s="69"/>
      <c r="F179" s="70">
        <v>50</v>
      </c>
      <c r="G179" s="67"/>
      <c r="H179" s="71"/>
      <c r="I179" s="72"/>
      <c r="J179" s="72"/>
      <c r="K179" s="34" t="s">
        <v>65</v>
      </c>
      <c r="L179" s="79">
        <v>179</v>
      </c>
      <c r="M179" s="79"/>
      <c r="N179" s="74"/>
      <c r="O179" s="90" t="s">
        <v>322</v>
      </c>
      <c r="P179" s="90" t="s">
        <v>324</v>
      </c>
      <c r="Q179" s="90" t="s">
        <v>1052</v>
      </c>
      <c r="R179" s="90" t="s">
        <v>867</v>
      </c>
      <c r="S179" s="90" t="s">
        <v>1174</v>
      </c>
      <c r="T179" s="93" t="str">
        <f>HYPERLINK("http://www.youtube.com/channel/UCGnKP41Zozwe387d5CakiMA")</f>
        <v>http://www.youtube.com/channel/UCGnKP41Zozwe387d5CakiMA</v>
      </c>
      <c r="U179" s="90" t="s">
        <v>1220</v>
      </c>
      <c r="V179" s="90" t="s">
        <v>1227</v>
      </c>
      <c r="W179" s="93" t="str">
        <f>HYPERLINK("https://www.youtube.com/watch?v=L3Ob_r4yk60")</f>
        <v>https://www.youtube.com/watch?v=L3Ob_r4yk60</v>
      </c>
      <c r="X179" s="90" t="s">
        <v>326</v>
      </c>
      <c r="Y179" s="90">
        <v>0</v>
      </c>
      <c r="Z179" s="96">
        <v>43912.96728009259</v>
      </c>
      <c r="AA179" s="96">
        <v>43912.96728009259</v>
      </c>
      <c r="AB179" s="90"/>
      <c r="AC179" s="90"/>
      <c r="AD179" s="90"/>
      <c r="AE179" s="90">
        <v>1</v>
      </c>
      <c r="AF179" s="89" t="str">
        <f>REPLACE(INDEX(GroupVertices[Group],MATCH(Edges[[#This Row],[Vertex 1]],GroupVertices[Vertex],0)),1,1,"")</f>
        <v>1</v>
      </c>
      <c r="AG179" s="89" t="str">
        <f>REPLACE(INDEX(GroupVertices[Group],MATCH(Edges[[#This Row],[Vertex 2]],GroupVertices[Vertex],0)),1,1,"")</f>
        <v>1</v>
      </c>
      <c r="AH179" s="48">
        <v>1</v>
      </c>
      <c r="AI179" s="49">
        <v>2.857142857142857</v>
      </c>
      <c r="AJ179" s="48">
        <v>0</v>
      </c>
      <c r="AK179" s="49">
        <v>0</v>
      </c>
      <c r="AL179" s="48">
        <v>0</v>
      </c>
      <c r="AM179" s="49">
        <v>0</v>
      </c>
      <c r="AN179" s="48">
        <v>34</v>
      </c>
      <c r="AO179" s="49">
        <v>97.14285714285714</v>
      </c>
      <c r="AP179" s="48">
        <v>35</v>
      </c>
    </row>
    <row r="180" spans="1:42" ht="15">
      <c r="A180" s="66" t="s">
        <v>868</v>
      </c>
      <c r="B180" s="66" t="s">
        <v>869</v>
      </c>
      <c r="C180" s="67" t="s">
        <v>743</v>
      </c>
      <c r="D180" s="68">
        <v>3</v>
      </c>
      <c r="E180" s="69"/>
      <c r="F180" s="70">
        <v>50</v>
      </c>
      <c r="G180" s="67"/>
      <c r="H180" s="71"/>
      <c r="I180" s="72"/>
      <c r="J180" s="72"/>
      <c r="K180" s="34" t="s">
        <v>65</v>
      </c>
      <c r="L180" s="79">
        <v>180</v>
      </c>
      <c r="M180" s="79"/>
      <c r="N180" s="74"/>
      <c r="O180" s="90" t="s">
        <v>322</v>
      </c>
      <c r="P180" s="90" t="s">
        <v>324</v>
      </c>
      <c r="Q180" s="90" t="s">
        <v>1053</v>
      </c>
      <c r="R180" s="90" t="s">
        <v>868</v>
      </c>
      <c r="S180" s="90" t="s">
        <v>1175</v>
      </c>
      <c r="T180" s="93" t="str">
        <f>HYPERLINK("http://www.youtube.com/channel/UCJPr1NicnL24X4c47Yh_cKA")</f>
        <v>http://www.youtube.com/channel/UCJPr1NicnL24X4c47Yh_cKA</v>
      </c>
      <c r="U180" s="90" t="s">
        <v>1220</v>
      </c>
      <c r="V180" s="90" t="s">
        <v>1227</v>
      </c>
      <c r="W180" s="93" t="str">
        <f>HYPERLINK("https://www.youtube.com/watch?v=L3Ob_r4yk60")</f>
        <v>https://www.youtube.com/watch?v=L3Ob_r4yk60</v>
      </c>
      <c r="X180" s="90" t="s">
        <v>326</v>
      </c>
      <c r="Y180" s="90">
        <v>0</v>
      </c>
      <c r="Z180" s="96">
        <v>43934.022523148145</v>
      </c>
      <c r="AA180" s="96">
        <v>43934.022523148145</v>
      </c>
      <c r="AB180" s="90"/>
      <c r="AC180" s="90"/>
      <c r="AD180" s="90"/>
      <c r="AE180" s="90">
        <v>1</v>
      </c>
      <c r="AF180" s="89" t="str">
        <f>REPLACE(INDEX(GroupVertices[Group],MATCH(Edges[[#This Row],[Vertex 1]],GroupVertices[Vertex],0)),1,1,"")</f>
        <v>1</v>
      </c>
      <c r="AG180" s="89" t="str">
        <f>REPLACE(INDEX(GroupVertices[Group],MATCH(Edges[[#This Row],[Vertex 2]],GroupVertices[Vertex],0)),1,1,"")</f>
        <v>1</v>
      </c>
      <c r="AH180" s="48">
        <v>2</v>
      </c>
      <c r="AI180" s="49">
        <v>22.22222222222222</v>
      </c>
      <c r="AJ180" s="48">
        <v>0</v>
      </c>
      <c r="AK180" s="49">
        <v>0</v>
      </c>
      <c r="AL180" s="48">
        <v>0</v>
      </c>
      <c r="AM180" s="49">
        <v>0</v>
      </c>
      <c r="AN180" s="48">
        <v>7</v>
      </c>
      <c r="AO180" s="49">
        <v>77.77777777777777</v>
      </c>
      <c r="AP180" s="48">
        <v>9</v>
      </c>
    </row>
    <row r="181" spans="1:42" ht="15">
      <c r="A181" s="66" t="s">
        <v>845</v>
      </c>
      <c r="B181" s="66" t="s">
        <v>869</v>
      </c>
      <c r="C181" s="67" t="s">
        <v>743</v>
      </c>
      <c r="D181" s="68">
        <v>3</v>
      </c>
      <c r="E181" s="69"/>
      <c r="F181" s="70">
        <v>50</v>
      </c>
      <c r="G181" s="67"/>
      <c r="H181" s="71"/>
      <c r="I181" s="72"/>
      <c r="J181" s="72"/>
      <c r="K181" s="34" t="s">
        <v>65</v>
      </c>
      <c r="L181" s="79">
        <v>181</v>
      </c>
      <c r="M181" s="79"/>
      <c r="N181" s="74"/>
      <c r="O181" s="90" t="s">
        <v>322</v>
      </c>
      <c r="P181" s="90" t="s">
        <v>324</v>
      </c>
      <c r="Q181" s="90" t="s">
        <v>1054</v>
      </c>
      <c r="R181" s="90" t="s">
        <v>845</v>
      </c>
      <c r="S181" s="90" t="s">
        <v>1152</v>
      </c>
      <c r="T181" s="93" t="str">
        <f>HYPERLINK("http://www.youtube.com/channel/UCWo-NV8TV7NgAoRgvvuu0Fg")</f>
        <v>http://www.youtube.com/channel/UCWo-NV8TV7NgAoRgvvuu0Fg</v>
      </c>
      <c r="U181" s="90" t="s">
        <v>1220</v>
      </c>
      <c r="V181" s="90" t="s">
        <v>1227</v>
      </c>
      <c r="W181" s="93" t="str">
        <f>HYPERLINK("https://www.youtube.com/watch?v=L3Ob_r4yk60")</f>
        <v>https://www.youtube.com/watch?v=L3Ob_r4yk60</v>
      </c>
      <c r="X181" s="90" t="s">
        <v>326</v>
      </c>
      <c r="Y181" s="90">
        <v>5</v>
      </c>
      <c r="Z181" s="96">
        <v>43912.58789351852</v>
      </c>
      <c r="AA181" s="96">
        <v>43912.58789351852</v>
      </c>
      <c r="AB181" s="90"/>
      <c r="AC181" s="90"/>
      <c r="AD181" s="90"/>
      <c r="AE181" s="90">
        <v>1</v>
      </c>
      <c r="AF181" s="89" t="str">
        <f>REPLACE(INDEX(GroupVertices[Group],MATCH(Edges[[#This Row],[Vertex 1]],GroupVertices[Vertex],0)),1,1,"")</f>
        <v>1</v>
      </c>
      <c r="AG181" s="89" t="str">
        <f>REPLACE(INDEX(GroupVertices[Group],MATCH(Edges[[#This Row],[Vertex 2]],GroupVertices[Vertex],0)),1,1,"")</f>
        <v>1</v>
      </c>
      <c r="AH181" s="48">
        <v>2</v>
      </c>
      <c r="AI181" s="49">
        <v>8.333333333333334</v>
      </c>
      <c r="AJ181" s="48">
        <v>0</v>
      </c>
      <c r="AK181" s="49">
        <v>0</v>
      </c>
      <c r="AL181" s="48">
        <v>0</v>
      </c>
      <c r="AM181" s="49">
        <v>0</v>
      </c>
      <c r="AN181" s="48">
        <v>22</v>
      </c>
      <c r="AO181" s="49">
        <v>91.66666666666667</v>
      </c>
      <c r="AP181" s="48">
        <v>24</v>
      </c>
    </row>
    <row r="182" spans="1:42" ht="15">
      <c r="A182" s="66" t="s">
        <v>869</v>
      </c>
      <c r="B182" s="66" t="s">
        <v>876</v>
      </c>
      <c r="C182" s="67" t="s">
        <v>743</v>
      </c>
      <c r="D182" s="68">
        <v>3</v>
      </c>
      <c r="E182" s="69"/>
      <c r="F182" s="70">
        <v>50</v>
      </c>
      <c r="G182" s="67"/>
      <c r="H182" s="71"/>
      <c r="I182" s="72"/>
      <c r="J182" s="72"/>
      <c r="K182" s="34" t="s">
        <v>65</v>
      </c>
      <c r="L182" s="79">
        <v>182</v>
      </c>
      <c r="M182" s="79"/>
      <c r="N182" s="74"/>
      <c r="O182" s="90" t="s">
        <v>323</v>
      </c>
      <c r="P182" s="90" t="s">
        <v>308</v>
      </c>
      <c r="Q182" s="90" t="s">
        <v>1055</v>
      </c>
      <c r="R182" s="90" t="s">
        <v>869</v>
      </c>
      <c r="S182" s="90" t="s">
        <v>1176</v>
      </c>
      <c r="T182" s="93" t="str">
        <f>HYPERLINK("http://www.youtube.com/channel/UC0kbZ08xIZxYkMw1GaswkTQ")</f>
        <v>http://www.youtube.com/channel/UC0kbZ08xIZxYkMw1GaswkTQ</v>
      </c>
      <c r="U182" s="90"/>
      <c r="V182" s="90" t="s">
        <v>1227</v>
      </c>
      <c r="W182" s="93" t="str">
        <f>HYPERLINK("https://www.youtube.com/watch?v=L3Ob_r4yk60")</f>
        <v>https://www.youtube.com/watch?v=L3Ob_r4yk60</v>
      </c>
      <c r="X182" s="90" t="s">
        <v>326</v>
      </c>
      <c r="Y182" s="90">
        <v>8</v>
      </c>
      <c r="Z182" s="96">
        <v>43912.57915509259</v>
      </c>
      <c r="AA182" s="96">
        <v>43912.57915509259</v>
      </c>
      <c r="AB182" s="90"/>
      <c r="AC182" s="90"/>
      <c r="AD182" s="90"/>
      <c r="AE182" s="90">
        <v>1</v>
      </c>
      <c r="AF182" s="89" t="str">
        <f>REPLACE(INDEX(GroupVertices[Group],MATCH(Edges[[#This Row],[Vertex 1]],GroupVertices[Vertex],0)),1,1,"")</f>
        <v>1</v>
      </c>
      <c r="AG182" s="89" t="str">
        <f>REPLACE(INDEX(GroupVertices[Group],MATCH(Edges[[#This Row],[Vertex 2]],GroupVertices[Vertex],0)),1,1,"")</f>
        <v>1</v>
      </c>
      <c r="AH182" s="48">
        <v>0</v>
      </c>
      <c r="AI182" s="49">
        <v>0</v>
      </c>
      <c r="AJ182" s="48">
        <v>0</v>
      </c>
      <c r="AK182" s="49">
        <v>0</v>
      </c>
      <c r="AL182" s="48">
        <v>0</v>
      </c>
      <c r="AM182" s="49">
        <v>0</v>
      </c>
      <c r="AN182" s="48">
        <v>8</v>
      </c>
      <c r="AO182" s="49">
        <v>100</v>
      </c>
      <c r="AP182" s="48">
        <v>8</v>
      </c>
    </row>
    <row r="183" spans="1:42" ht="15">
      <c r="A183" s="66" t="s">
        <v>795</v>
      </c>
      <c r="B183" s="66" t="s">
        <v>845</v>
      </c>
      <c r="C183" s="67" t="s">
        <v>743</v>
      </c>
      <c r="D183" s="68">
        <v>3</v>
      </c>
      <c r="E183" s="69"/>
      <c r="F183" s="70">
        <v>50</v>
      </c>
      <c r="G183" s="67"/>
      <c r="H183" s="71"/>
      <c r="I183" s="72"/>
      <c r="J183" s="72"/>
      <c r="K183" s="34" t="s">
        <v>65</v>
      </c>
      <c r="L183" s="79">
        <v>183</v>
      </c>
      <c r="M183" s="79"/>
      <c r="N183" s="74"/>
      <c r="O183" s="90" t="s">
        <v>322</v>
      </c>
      <c r="P183" s="90" t="s">
        <v>324</v>
      </c>
      <c r="Q183" s="90" t="s">
        <v>1056</v>
      </c>
      <c r="R183" s="90" t="s">
        <v>795</v>
      </c>
      <c r="S183" s="90" t="s">
        <v>1102</v>
      </c>
      <c r="T183" s="93" t="str">
        <f>HYPERLINK("http://www.youtube.com/channel/UCwLvX1xSEvRJ0HxWIRIu6-g")</f>
        <v>http://www.youtube.com/channel/UCwLvX1xSEvRJ0HxWIRIu6-g</v>
      </c>
      <c r="U183" s="90" t="s">
        <v>1221</v>
      </c>
      <c r="V183" s="90" t="s">
        <v>1227</v>
      </c>
      <c r="W183" s="93" t="str">
        <f>HYPERLINK("https://www.youtube.com/watch?v=L3Ob_r4yk60")</f>
        <v>https://www.youtube.com/watch?v=L3Ob_r4yk60</v>
      </c>
      <c r="X183" s="90" t="s">
        <v>326</v>
      </c>
      <c r="Y183" s="90">
        <v>0</v>
      </c>
      <c r="Z183" s="96">
        <v>43914.1241087963</v>
      </c>
      <c r="AA183" s="96">
        <v>43914.12446759259</v>
      </c>
      <c r="AB183" s="90"/>
      <c r="AC183" s="90"/>
      <c r="AD183" s="90"/>
      <c r="AE183" s="90">
        <v>1</v>
      </c>
      <c r="AF183" s="89" t="str">
        <f>REPLACE(INDEX(GroupVertices[Group],MATCH(Edges[[#This Row],[Vertex 1]],GroupVertices[Vertex],0)),1,1,"")</f>
        <v>1</v>
      </c>
      <c r="AG183" s="89" t="str">
        <f>REPLACE(INDEX(GroupVertices[Group],MATCH(Edges[[#This Row],[Vertex 2]],GroupVertices[Vertex],0)),1,1,"")</f>
        <v>1</v>
      </c>
      <c r="AH183" s="48">
        <v>1</v>
      </c>
      <c r="AI183" s="49">
        <v>1.8518518518518519</v>
      </c>
      <c r="AJ183" s="48">
        <v>4</v>
      </c>
      <c r="AK183" s="49">
        <v>7.407407407407407</v>
      </c>
      <c r="AL183" s="48">
        <v>0</v>
      </c>
      <c r="AM183" s="49">
        <v>0</v>
      </c>
      <c r="AN183" s="48">
        <v>49</v>
      </c>
      <c r="AO183" s="49">
        <v>90.74074074074075</v>
      </c>
      <c r="AP183" s="48">
        <v>54</v>
      </c>
    </row>
    <row r="184" spans="1:42" ht="15">
      <c r="A184" s="66" t="s">
        <v>845</v>
      </c>
      <c r="B184" s="66" t="s">
        <v>876</v>
      </c>
      <c r="C184" s="67" t="s">
        <v>743</v>
      </c>
      <c r="D184" s="68">
        <v>3</v>
      </c>
      <c r="E184" s="69"/>
      <c r="F184" s="70">
        <v>50</v>
      </c>
      <c r="G184" s="67"/>
      <c r="H184" s="71"/>
      <c r="I184" s="72"/>
      <c r="J184" s="72"/>
      <c r="K184" s="34" t="s">
        <v>65</v>
      </c>
      <c r="L184" s="79">
        <v>184</v>
      </c>
      <c r="M184" s="79"/>
      <c r="N184" s="74"/>
      <c r="O184" s="90" t="s">
        <v>323</v>
      </c>
      <c r="P184" s="90" t="s">
        <v>308</v>
      </c>
      <c r="Q184" s="90" t="s">
        <v>1057</v>
      </c>
      <c r="R184" s="90" t="s">
        <v>845</v>
      </c>
      <c r="S184" s="90" t="s">
        <v>1152</v>
      </c>
      <c r="T184" s="93" t="str">
        <f>HYPERLINK("http://www.youtube.com/channel/UCWo-NV8TV7NgAoRgvvuu0Fg")</f>
        <v>http://www.youtube.com/channel/UCWo-NV8TV7NgAoRgvvuu0Fg</v>
      </c>
      <c r="U184" s="90"/>
      <c r="V184" s="90" t="s">
        <v>1227</v>
      </c>
      <c r="W184" s="93" t="str">
        <f>HYPERLINK("https://www.youtube.com/watch?v=L3Ob_r4yk60")</f>
        <v>https://www.youtube.com/watch?v=L3Ob_r4yk60</v>
      </c>
      <c r="X184" s="90" t="s">
        <v>326</v>
      </c>
      <c r="Y184" s="90">
        <v>47</v>
      </c>
      <c r="Z184" s="96">
        <v>43912.57929398148</v>
      </c>
      <c r="AA184" s="96">
        <v>43912.57929398148</v>
      </c>
      <c r="AB184" s="90"/>
      <c r="AC184" s="90"/>
      <c r="AD184" s="90"/>
      <c r="AE184" s="90">
        <v>1</v>
      </c>
      <c r="AF184" s="89" t="str">
        <f>REPLACE(INDEX(GroupVertices[Group],MATCH(Edges[[#This Row],[Vertex 1]],GroupVertices[Vertex],0)),1,1,"")</f>
        <v>1</v>
      </c>
      <c r="AG184" s="89" t="str">
        <f>REPLACE(INDEX(GroupVertices[Group],MATCH(Edges[[#This Row],[Vertex 2]],GroupVertices[Vertex],0)),1,1,"")</f>
        <v>1</v>
      </c>
      <c r="AH184" s="48">
        <v>1</v>
      </c>
      <c r="AI184" s="49">
        <v>5.555555555555555</v>
      </c>
      <c r="AJ184" s="48">
        <v>2</v>
      </c>
      <c r="AK184" s="49">
        <v>11.11111111111111</v>
      </c>
      <c r="AL184" s="48">
        <v>0</v>
      </c>
      <c r="AM184" s="49">
        <v>0</v>
      </c>
      <c r="AN184" s="48">
        <v>15</v>
      </c>
      <c r="AO184" s="49">
        <v>83.33333333333333</v>
      </c>
      <c r="AP184" s="48">
        <v>18</v>
      </c>
    </row>
    <row r="185" spans="1:42" ht="15">
      <c r="A185" s="66" t="s">
        <v>870</v>
      </c>
      <c r="B185" s="66" t="s">
        <v>767</v>
      </c>
      <c r="C185" s="67" t="s">
        <v>743</v>
      </c>
      <c r="D185" s="68">
        <v>3</v>
      </c>
      <c r="E185" s="69"/>
      <c r="F185" s="70">
        <v>50</v>
      </c>
      <c r="G185" s="67"/>
      <c r="H185" s="71"/>
      <c r="I185" s="72"/>
      <c r="J185" s="72"/>
      <c r="K185" s="34" t="s">
        <v>65</v>
      </c>
      <c r="L185" s="79">
        <v>185</v>
      </c>
      <c r="M185" s="79"/>
      <c r="N185" s="74"/>
      <c r="O185" s="90" t="s">
        <v>322</v>
      </c>
      <c r="P185" s="90" t="s">
        <v>324</v>
      </c>
      <c r="Q185" s="90" t="s">
        <v>1058</v>
      </c>
      <c r="R185" s="90" t="s">
        <v>870</v>
      </c>
      <c r="S185" s="90" t="s">
        <v>1177</v>
      </c>
      <c r="T185" s="93" t="str">
        <f>HYPERLINK("http://www.youtube.com/channel/UCyGi1E-cVLufZHG4RugRivQ")</f>
        <v>http://www.youtube.com/channel/UCyGi1E-cVLufZHG4RugRivQ</v>
      </c>
      <c r="U185" s="90" t="s">
        <v>1222</v>
      </c>
      <c r="V185" s="90" t="s">
        <v>1227</v>
      </c>
      <c r="W185" s="93" t="str">
        <f>HYPERLINK("https://www.youtube.com/watch?v=L3Ob_r4yk60")</f>
        <v>https://www.youtube.com/watch?v=L3Ob_r4yk60</v>
      </c>
      <c r="X185" s="90" t="s">
        <v>326</v>
      </c>
      <c r="Y185" s="90">
        <v>1</v>
      </c>
      <c r="Z185" s="96">
        <v>43912.592835648145</v>
      </c>
      <c r="AA185" s="96">
        <v>43912.592835648145</v>
      </c>
      <c r="AB185" s="90"/>
      <c r="AC185" s="90"/>
      <c r="AD185" s="90"/>
      <c r="AE185" s="90">
        <v>1</v>
      </c>
      <c r="AF185" s="89" t="str">
        <f>REPLACE(INDEX(GroupVertices[Group],MATCH(Edges[[#This Row],[Vertex 1]],GroupVertices[Vertex],0)),1,1,"")</f>
        <v>1</v>
      </c>
      <c r="AG185" s="89" t="str">
        <f>REPLACE(INDEX(GroupVertices[Group],MATCH(Edges[[#This Row],[Vertex 2]],GroupVertices[Vertex],0)),1,1,"")</f>
        <v>1</v>
      </c>
      <c r="AH185" s="48">
        <v>0</v>
      </c>
      <c r="AI185" s="49">
        <v>0</v>
      </c>
      <c r="AJ185" s="48">
        <v>0</v>
      </c>
      <c r="AK185" s="49">
        <v>0</v>
      </c>
      <c r="AL185" s="48">
        <v>0</v>
      </c>
      <c r="AM185" s="49">
        <v>0</v>
      </c>
      <c r="AN185" s="48">
        <v>3</v>
      </c>
      <c r="AO185" s="49">
        <v>100</v>
      </c>
      <c r="AP185" s="48">
        <v>3</v>
      </c>
    </row>
    <row r="186" spans="1:42" ht="15">
      <c r="A186" s="66" t="s">
        <v>767</v>
      </c>
      <c r="B186" s="66" t="s">
        <v>876</v>
      </c>
      <c r="C186" s="67" t="s">
        <v>743</v>
      </c>
      <c r="D186" s="68">
        <v>3</v>
      </c>
      <c r="E186" s="69"/>
      <c r="F186" s="70">
        <v>50</v>
      </c>
      <c r="G186" s="67"/>
      <c r="H186" s="71"/>
      <c r="I186" s="72"/>
      <c r="J186" s="72"/>
      <c r="K186" s="34" t="s">
        <v>65</v>
      </c>
      <c r="L186" s="79">
        <v>186</v>
      </c>
      <c r="M186" s="79"/>
      <c r="N186" s="74"/>
      <c r="O186" s="90" t="s">
        <v>323</v>
      </c>
      <c r="P186" s="90" t="s">
        <v>308</v>
      </c>
      <c r="Q186" s="90" t="s">
        <v>1059</v>
      </c>
      <c r="R186" s="90" t="s">
        <v>767</v>
      </c>
      <c r="S186" s="90" t="s">
        <v>1074</v>
      </c>
      <c r="T186" s="93" t="str">
        <f>HYPERLINK("http://www.youtube.com/channel/UCIykfDLsjZByMEXDU7XqVhg")</f>
        <v>http://www.youtube.com/channel/UCIykfDLsjZByMEXDU7XqVhg</v>
      </c>
      <c r="U186" s="90"/>
      <c r="V186" s="90" t="s">
        <v>1227</v>
      </c>
      <c r="W186" s="93" t="str">
        <f>HYPERLINK("https://www.youtube.com/watch?v=L3Ob_r4yk60")</f>
        <v>https://www.youtube.com/watch?v=L3Ob_r4yk60</v>
      </c>
      <c r="X186" s="90" t="s">
        <v>326</v>
      </c>
      <c r="Y186" s="90">
        <v>2</v>
      </c>
      <c r="Z186" s="96">
        <v>43912.584756944445</v>
      </c>
      <c r="AA186" s="96">
        <v>43912.586643518516</v>
      </c>
      <c r="AB186" s="90"/>
      <c r="AC186" s="90"/>
      <c r="AD186" s="90"/>
      <c r="AE186" s="90">
        <v>1</v>
      </c>
      <c r="AF186" s="89" t="str">
        <f>REPLACE(INDEX(GroupVertices[Group],MATCH(Edges[[#This Row],[Vertex 1]],GroupVertices[Vertex],0)),1,1,"")</f>
        <v>1</v>
      </c>
      <c r="AG186" s="89" t="str">
        <f>REPLACE(INDEX(GroupVertices[Group],MATCH(Edges[[#This Row],[Vertex 2]],GroupVertices[Vertex],0)),1,1,"")</f>
        <v>1</v>
      </c>
      <c r="AH186" s="48">
        <v>0</v>
      </c>
      <c r="AI186" s="49">
        <v>0</v>
      </c>
      <c r="AJ186" s="48">
        <v>0</v>
      </c>
      <c r="AK186" s="49">
        <v>0</v>
      </c>
      <c r="AL186" s="48">
        <v>0</v>
      </c>
      <c r="AM186" s="49">
        <v>0</v>
      </c>
      <c r="AN186" s="48">
        <v>9</v>
      </c>
      <c r="AO186" s="49">
        <v>100</v>
      </c>
      <c r="AP186" s="48">
        <v>9</v>
      </c>
    </row>
    <row r="187" spans="1:42" ht="15">
      <c r="A187" s="66" t="s">
        <v>767</v>
      </c>
      <c r="B187" s="66" t="s">
        <v>871</v>
      </c>
      <c r="C187" s="67" t="s">
        <v>743</v>
      </c>
      <c r="D187" s="68">
        <v>3</v>
      </c>
      <c r="E187" s="69"/>
      <c r="F187" s="70">
        <v>50</v>
      </c>
      <c r="G187" s="67"/>
      <c r="H187" s="71"/>
      <c r="I187" s="72"/>
      <c r="J187" s="72"/>
      <c r="K187" s="34" t="s">
        <v>65</v>
      </c>
      <c r="L187" s="79">
        <v>187</v>
      </c>
      <c r="M187" s="79"/>
      <c r="N187" s="74"/>
      <c r="O187" s="90" t="s">
        <v>322</v>
      </c>
      <c r="P187" s="90" t="s">
        <v>324</v>
      </c>
      <c r="Q187" s="90" t="s">
        <v>1060</v>
      </c>
      <c r="R187" s="90" t="s">
        <v>767</v>
      </c>
      <c r="S187" s="90" t="s">
        <v>1074</v>
      </c>
      <c r="T187" s="93" t="str">
        <f>HYPERLINK("http://www.youtube.com/channel/UCIykfDLsjZByMEXDU7XqVhg")</f>
        <v>http://www.youtube.com/channel/UCIykfDLsjZByMEXDU7XqVhg</v>
      </c>
      <c r="U187" s="90" t="s">
        <v>1223</v>
      </c>
      <c r="V187" s="90" t="s">
        <v>1227</v>
      </c>
      <c r="W187" s="93" t="str">
        <f>HYPERLINK("https://www.youtube.com/watch?v=L3Ob_r4yk60")</f>
        <v>https://www.youtube.com/watch?v=L3Ob_r4yk60</v>
      </c>
      <c r="X187" s="90" t="s">
        <v>326</v>
      </c>
      <c r="Y187" s="90">
        <v>0</v>
      </c>
      <c r="Z187" s="96">
        <v>43912.59375</v>
      </c>
      <c r="AA187" s="96">
        <v>43912.59375</v>
      </c>
      <c r="AB187" s="90"/>
      <c r="AC187" s="90"/>
      <c r="AD187" s="90"/>
      <c r="AE187" s="90">
        <v>1</v>
      </c>
      <c r="AF187" s="89" t="str">
        <f>REPLACE(INDEX(GroupVertices[Group],MATCH(Edges[[#This Row],[Vertex 1]],GroupVertices[Vertex],0)),1,1,"")</f>
        <v>1</v>
      </c>
      <c r="AG187" s="89" t="str">
        <f>REPLACE(INDEX(GroupVertices[Group],MATCH(Edges[[#This Row],[Vertex 2]],GroupVertices[Vertex],0)),1,1,"")</f>
        <v>1</v>
      </c>
      <c r="AH187" s="48">
        <v>0</v>
      </c>
      <c r="AI187" s="49">
        <v>0</v>
      </c>
      <c r="AJ187" s="48">
        <v>0</v>
      </c>
      <c r="AK187" s="49">
        <v>0</v>
      </c>
      <c r="AL187" s="48">
        <v>0</v>
      </c>
      <c r="AM187" s="49">
        <v>0</v>
      </c>
      <c r="AN187" s="48">
        <v>9</v>
      </c>
      <c r="AO187" s="49">
        <v>100</v>
      </c>
      <c r="AP187" s="48">
        <v>9</v>
      </c>
    </row>
    <row r="188" spans="1:42" ht="15">
      <c r="A188" s="66" t="s">
        <v>871</v>
      </c>
      <c r="B188" s="66" t="s">
        <v>871</v>
      </c>
      <c r="C188" s="67" t="s">
        <v>743</v>
      </c>
      <c r="D188" s="68">
        <v>3</v>
      </c>
      <c r="E188" s="69"/>
      <c r="F188" s="70">
        <v>50</v>
      </c>
      <c r="G188" s="67"/>
      <c r="H188" s="71"/>
      <c r="I188" s="72"/>
      <c r="J188" s="72"/>
      <c r="K188" s="34" t="s">
        <v>65</v>
      </c>
      <c r="L188" s="79">
        <v>188</v>
      </c>
      <c r="M188" s="79"/>
      <c r="N188" s="74"/>
      <c r="O188" s="90" t="s">
        <v>322</v>
      </c>
      <c r="P188" s="90" t="s">
        <v>324</v>
      </c>
      <c r="Q188" s="90" t="s">
        <v>1061</v>
      </c>
      <c r="R188" s="90" t="s">
        <v>871</v>
      </c>
      <c r="S188" s="90" t="s">
        <v>1178</v>
      </c>
      <c r="T188" s="93" t="str">
        <f>HYPERLINK("http://www.youtube.com/channel/UCNmDmaEx2Sj6Nmsa4aWyYYQ")</f>
        <v>http://www.youtube.com/channel/UCNmDmaEx2Sj6Nmsa4aWyYYQ</v>
      </c>
      <c r="U188" s="90" t="s">
        <v>1223</v>
      </c>
      <c r="V188" s="90" t="s">
        <v>1227</v>
      </c>
      <c r="W188" s="93" t="str">
        <f>HYPERLINK("https://www.youtube.com/watch?v=L3Ob_r4yk60")</f>
        <v>https://www.youtube.com/watch?v=L3Ob_r4yk60</v>
      </c>
      <c r="X188" s="90" t="s">
        <v>326</v>
      </c>
      <c r="Y188" s="90">
        <v>1</v>
      </c>
      <c r="Z188" s="96">
        <v>43912.598645833335</v>
      </c>
      <c r="AA188" s="96">
        <v>43912.598645833335</v>
      </c>
      <c r="AB188" s="90"/>
      <c r="AC188" s="90"/>
      <c r="AD188" s="90"/>
      <c r="AE188" s="90">
        <v>1</v>
      </c>
      <c r="AF188" s="89" t="str">
        <f>REPLACE(INDEX(GroupVertices[Group],MATCH(Edges[[#This Row],[Vertex 1]],GroupVertices[Vertex],0)),1,1,"")</f>
        <v>1</v>
      </c>
      <c r="AG188" s="89" t="str">
        <f>REPLACE(INDEX(GroupVertices[Group],MATCH(Edges[[#This Row],[Vertex 2]],GroupVertices[Vertex],0)),1,1,"")</f>
        <v>1</v>
      </c>
      <c r="AH188" s="48">
        <v>2</v>
      </c>
      <c r="AI188" s="49">
        <v>13.333333333333334</v>
      </c>
      <c r="AJ188" s="48">
        <v>0</v>
      </c>
      <c r="AK188" s="49">
        <v>0</v>
      </c>
      <c r="AL188" s="48">
        <v>0</v>
      </c>
      <c r="AM188" s="49">
        <v>0</v>
      </c>
      <c r="AN188" s="48">
        <v>13</v>
      </c>
      <c r="AO188" s="49">
        <v>86.66666666666667</v>
      </c>
      <c r="AP188" s="48">
        <v>15</v>
      </c>
    </row>
    <row r="189" spans="1:42" ht="15">
      <c r="A189" s="66" t="s">
        <v>871</v>
      </c>
      <c r="B189" s="66" t="s">
        <v>876</v>
      </c>
      <c r="C189" s="67" t="s">
        <v>743</v>
      </c>
      <c r="D189" s="68">
        <v>3</v>
      </c>
      <c r="E189" s="69"/>
      <c r="F189" s="70">
        <v>50</v>
      </c>
      <c r="G189" s="67"/>
      <c r="H189" s="71"/>
      <c r="I189" s="72"/>
      <c r="J189" s="72"/>
      <c r="K189" s="34" t="s">
        <v>65</v>
      </c>
      <c r="L189" s="79">
        <v>189</v>
      </c>
      <c r="M189" s="79"/>
      <c r="N189" s="74"/>
      <c r="O189" s="90" t="s">
        <v>323</v>
      </c>
      <c r="P189" s="90" t="s">
        <v>308</v>
      </c>
      <c r="Q189" s="90" t="s">
        <v>1062</v>
      </c>
      <c r="R189" s="90" t="s">
        <v>871</v>
      </c>
      <c r="S189" s="90" t="s">
        <v>1178</v>
      </c>
      <c r="T189" s="93" t="str">
        <f>HYPERLINK("http://www.youtube.com/channel/UCNmDmaEx2Sj6Nmsa4aWyYYQ")</f>
        <v>http://www.youtube.com/channel/UCNmDmaEx2Sj6Nmsa4aWyYYQ</v>
      </c>
      <c r="U189" s="90"/>
      <c r="V189" s="90" t="s">
        <v>1227</v>
      </c>
      <c r="W189" s="93" t="str">
        <f>HYPERLINK("https://www.youtube.com/watch?v=L3Ob_r4yk60")</f>
        <v>https://www.youtube.com/watch?v=L3Ob_r4yk60</v>
      </c>
      <c r="X189" s="90" t="s">
        <v>326</v>
      </c>
      <c r="Y189" s="90">
        <v>2</v>
      </c>
      <c r="Z189" s="96">
        <v>43912.59203703704</v>
      </c>
      <c r="AA189" s="96">
        <v>43912.59203703704</v>
      </c>
      <c r="AB189" s="90"/>
      <c r="AC189" s="90"/>
      <c r="AD189" s="90"/>
      <c r="AE189" s="90">
        <v>1</v>
      </c>
      <c r="AF189" s="89" t="str">
        <f>REPLACE(INDEX(GroupVertices[Group],MATCH(Edges[[#This Row],[Vertex 1]],GroupVertices[Vertex],0)),1,1,"")</f>
        <v>1</v>
      </c>
      <c r="AG189" s="89" t="str">
        <f>REPLACE(INDEX(GroupVertices[Group],MATCH(Edges[[#This Row],[Vertex 2]],GroupVertices[Vertex],0)),1,1,"")</f>
        <v>1</v>
      </c>
      <c r="AH189" s="48">
        <v>0</v>
      </c>
      <c r="AI189" s="49">
        <v>0</v>
      </c>
      <c r="AJ189" s="48">
        <v>0</v>
      </c>
      <c r="AK189" s="49">
        <v>0</v>
      </c>
      <c r="AL189" s="48">
        <v>0</v>
      </c>
      <c r="AM189" s="49">
        <v>0</v>
      </c>
      <c r="AN189" s="48">
        <v>15</v>
      </c>
      <c r="AO189" s="49">
        <v>100</v>
      </c>
      <c r="AP189" s="48">
        <v>15</v>
      </c>
    </row>
    <row r="190" spans="1:42" ht="15">
      <c r="A190" s="66" t="s">
        <v>827</v>
      </c>
      <c r="B190" s="66" t="s">
        <v>873</v>
      </c>
      <c r="C190" s="67" t="s">
        <v>743</v>
      </c>
      <c r="D190" s="68">
        <v>3</v>
      </c>
      <c r="E190" s="69"/>
      <c r="F190" s="70">
        <v>50</v>
      </c>
      <c r="G190" s="67"/>
      <c r="H190" s="71"/>
      <c r="I190" s="72"/>
      <c r="J190" s="72"/>
      <c r="K190" s="34" t="s">
        <v>65</v>
      </c>
      <c r="L190" s="79">
        <v>190</v>
      </c>
      <c r="M190" s="79"/>
      <c r="N190" s="74"/>
      <c r="O190" s="90" t="s">
        <v>322</v>
      </c>
      <c r="P190" s="90" t="s">
        <v>324</v>
      </c>
      <c r="Q190" s="90" t="s">
        <v>1063</v>
      </c>
      <c r="R190" s="90" t="s">
        <v>827</v>
      </c>
      <c r="S190" s="90" t="s">
        <v>1134</v>
      </c>
      <c r="T190" s="93" t="str">
        <f>HYPERLINK("http://www.youtube.com/channel/UCbTEPPnor25BJIqAb_ZmhAA")</f>
        <v>http://www.youtube.com/channel/UCbTEPPnor25BJIqAb_ZmhAA</v>
      </c>
      <c r="U190" s="90" t="s">
        <v>1224</v>
      </c>
      <c r="V190" s="90" t="s">
        <v>1227</v>
      </c>
      <c r="W190" s="93" t="str">
        <f>HYPERLINK("https://www.youtube.com/watch?v=L3Ob_r4yk60")</f>
        <v>https://www.youtube.com/watch?v=L3Ob_r4yk60</v>
      </c>
      <c r="X190" s="90" t="s">
        <v>326</v>
      </c>
      <c r="Y190" s="90">
        <v>0</v>
      </c>
      <c r="Z190" s="96">
        <v>43912.714375</v>
      </c>
      <c r="AA190" s="96">
        <v>43912.714375</v>
      </c>
      <c r="AB190" s="90"/>
      <c r="AC190" s="90"/>
      <c r="AD190" s="90"/>
      <c r="AE190" s="90">
        <v>1</v>
      </c>
      <c r="AF190" s="89" t="str">
        <f>REPLACE(INDEX(GroupVertices[Group],MATCH(Edges[[#This Row],[Vertex 1]],GroupVertices[Vertex],0)),1,1,"")</f>
        <v>9</v>
      </c>
      <c r="AG190" s="89" t="str">
        <f>REPLACE(INDEX(GroupVertices[Group],MATCH(Edges[[#This Row],[Vertex 2]],GroupVertices[Vertex],0)),1,1,"")</f>
        <v>9</v>
      </c>
      <c r="AH190" s="48">
        <v>0</v>
      </c>
      <c r="AI190" s="49">
        <v>0</v>
      </c>
      <c r="AJ190" s="48">
        <v>1</v>
      </c>
      <c r="AK190" s="49">
        <v>4.3478260869565215</v>
      </c>
      <c r="AL190" s="48">
        <v>0</v>
      </c>
      <c r="AM190" s="49">
        <v>0</v>
      </c>
      <c r="AN190" s="48">
        <v>22</v>
      </c>
      <c r="AO190" s="49">
        <v>95.65217391304348</v>
      </c>
      <c r="AP190" s="48">
        <v>23</v>
      </c>
    </row>
    <row r="191" spans="1:42" ht="15">
      <c r="A191" s="66" t="s">
        <v>872</v>
      </c>
      <c r="B191" s="66" t="s">
        <v>873</v>
      </c>
      <c r="C191" s="67" t="s">
        <v>743</v>
      </c>
      <c r="D191" s="68">
        <v>3</v>
      </c>
      <c r="E191" s="69"/>
      <c r="F191" s="70">
        <v>50</v>
      </c>
      <c r="G191" s="67"/>
      <c r="H191" s="71"/>
      <c r="I191" s="72"/>
      <c r="J191" s="72"/>
      <c r="K191" s="34" t="s">
        <v>65</v>
      </c>
      <c r="L191" s="79">
        <v>191</v>
      </c>
      <c r="M191" s="79"/>
      <c r="N191" s="74"/>
      <c r="O191" s="90" t="s">
        <v>322</v>
      </c>
      <c r="P191" s="90" t="s">
        <v>324</v>
      </c>
      <c r="Q191" s="90" t="s">
        <v>1064</v>
      </c>
      <c r="R191" s="90" t="s">
        <v>872</v>
      </c>
      <c r="S191" s="90" t="s">
        <v>1179</v>
      </c>
      <c r="T191" s="93" t="str">
        <f>HYPERLINK("http://www.youtube.com/channel/UCXMh2hN11YUaC8RvaYWFn4g")</f>
        <v>http://www.youtube.com/channel/UCXMh2hN11YUaC8RvaYWFn4g</v>
      </c>
      <c r="U191" s="90" t="s">
        <v>1224</v>
      </c>
      <c r="V191" s="90" t="s">
        <v>1227</v>
      </c>
      <c r="W191" s="93" t="str">
        <f>HYPERLINK("https://www.youtube.com/watch?v=L3Ob_r4yk60")</f>
        <v>https://www.youtube.com/watch?v=L3Ob_r4yk60</v>
      </c>
      <c r="X191" s="90" t="s">
        <v>326</v>
      </c>
      <c r="Y191" s="90">
        <v>0</v>
      </c>
      <c r="Z191" s="96">
        <v>43912.78128472222</v>
      </c>
      <c r="AA191" s="96">
        <v>43912.78128472222</v>
      </c>
      <c r="AB191" s="90"/>
      <c r="AC191" s="90"/>
      <c r="AD191" s="90"/>
      <c r="AE191" s="90">
        <v>1</v>
      </c>
      <c r="AF191" s="89" t="str">
        <f>REPLACE(INDEX(GroupVertices[Group],MATCH(Edges[[#This Row],[Vertex 1]],GroupVertices[Vertex],0)),1,1,"")</f>
        <v>9</v>
      </c>
      <c r="AG191" s="89" t="str">
        <f>REPLACE(INDEX(GroupVertices[Group],MATCH(Edges[[#This Row],[Vertex 2]],GroupVertices[Vertex],0)),1,1,"")</f>
        <v>9</v>
      </c>
      <c r="AH191" s="48">
        <v>1</v>
      </c>
      <c r="AI191" s="49">
        <v>8.333333333333334</v>
      </c>
      <c r="AJ191" s="48">
        <v>0</v>
      </c>
      <c r="AK191" s="49">
        <v>0</v>
      </c>
      <c r="AL191" s="48">
        <v>0</v>
      </c>
      <c r="AM191" s="49">
        <v>0</v>
      </c>
      <c r="AN191" s="48">
        <v>11</v>
      </c>
      <c r="AO191" s="49">
        <v>91.66666666666667</v>
      </c>
      <c r="AP191" s="48">
        <v>12</v>
      </c>
    </row>
    <row r="192" spans="1:42" ht="15">
      <c r="A192" s="66" t="s">
        <v>873</v>
      </c>
      <c r="B192" s="66" t="s">
        <v>873</v>
      </c>
      <c r="C192" s="67" t="s">
        <v>744</v>
      </c>
      <c r="D192" s="68">
        <v>10</v>
      </c>
      <c r="E192" s="69"/>
      <c r="F192" s="70">
        <v>20</v>
      </c>
      <c r="G192" s="67"/>
      <c r="H192" s="71"/>
      <c r="I192" s="72"/>
      <c r="J192" s="72"/>
      <c r="K192" s="34" t="s">
        <v>65</v>
      </c>
      <c r="L192" s="79">
        <v>192</v>
      </c>
      <c r="M192" s="79"/>
      <c r="N192" s="74"/>
      <c r="O192" s="90" t="s">
        <v>322</v>
      </c>
      <c r="P192" s="90" t="s">
        <v>324</v>
      </c>
      <c r="Q192" s="90" t="s">
        <v>1065</v>
      </c>
      <c r="R192" s="90" t="s">
        <v>873</v>
      </c>
      <c r="S192" s="90" t="s">
        <v>1180</v>
      </c>
      <c r="T192" s="93" t="str">
        <f>HYPERLINK("http://www.youtube.com/channel/UCwnsrEVkVOvGMc934DSFRXg")</f>
        <v>http://www.youtube.com/channel/UCwnsrEVkVOvGMc934DSFRXg</v>
      </c>
      <c r="U192" s="90" t="s">
        <v>1224</v>
      </c>
      <c r="V192" s="90" t="s">
        <v>1227</v>
      </c>
      <c r="W192" s="93" t="str">
        <f>HYPERLINK("https://www.youtube.com/watch?v=L3Ob_r4yk60")</f>
        <v>https://www.youtube.com/watch?v=L3Ob_r4yk60</v>
      </c>
      <c r="X192" s="90" t="s">
        <v>326</v>
      </c>
      <c r="Y192" s="90">
        <v>0</v>
      </c>
      <c r="Z192" s="96">
        <v>43912.791284722225</v>
      </c>
      <c r="AA192" s="96">
        <v>43912.791284722225</v>
      </c>
      <c r="AB192" s="90"/>
      <c r="AC192" s="90"/>
      <c r="AD192" s="90"/>
      <c r="AE192" s="90">
        <v>2</v>
      </c>
      <c r="AF192" s="89" t="str">
        <f>REPLACE(INDEX(GroupVertices[Group],MATCH(Edges[[#This Row],[Vertex 1]],GroupVertices[Vertex],0)),1,1,"")</f>
        <v>9</v>
      </c>
      <c r="AG192" s="89" t="str">
        <f>REPLACE(INDEX(GroupVertices[Group],MATCH(Edges[[#This Row],[Vertex 2]],GroupVertices[Vertex],0)),1,1,"")</f>
        <v>9</v>
      </c>
      <c r="AH192" s="48">
        <v>1</v>
      </c>
      <c r="AI192" s="49">
        <v>16.666666666666668</v>
      </c>
      <c r="AJ192" s="48">
        <v>0</v>
      </c>
      <c r="AK192" s="49">
        <v>0</v>
      </c>
      <c r="AL192" s="48">
        <v>0</v>
      </c>
      <c r="AM192" s="49">
        <v>0</v>
      </c>
      <c r="AN192" s="48">
        <v>5</v>
      </c>
      <c r="AO192" s="49">
        <v>83.33333333333333</v>
      </c>
      <c r="AP192" s="48">
        <v>6</v>
      </c>
    </row>
    <row r="193" spans="1:42" ht="15">
      <c r="A193" s="66" t="s">
        <v>873</v>
      </c>
      <c r="B193" s="66" t="s">
        <v>873</v>
      </c>
      <c r="C193" s="67" t="s">
        <v>744</v>
      </c>
      <c r="D193" s="68">
        <v>10</v>
      </c>
      <c r="E193" s="69"/>
      <c r="F193" s="70">
        <v>20</v>
      </c>
      <c r="G193" s="67"/>
      <c r="H193" s="71"/>
      <c r="I193" s="72"/>
      <c r="J193" s="72"/>
      <c r="K193" s="34" t="s">
        <v>65</v>
      </c>
      <c r="L193" s="79">
        <v>193</v>
      </c>
      <c r="M193" s="79"/>
      <c r="N193" s="74"/>
      <c r="O193" s="90" t="s">
        <v>322</v>
      </c>
      <c r="P193" s="90" t="s">
        <v>324</v>
      </c>
      <c r="Q193" s="90" t="s">
        <v>1066</v>
      </c>
      <c r="R193" s="90" t="s">
        <v>873</v>
      </c>
      <c r="S193" s="90" t="s">
        <v>1180</v>
      </c>
      <c r="T193" s="93" t="str">
        <f>HYPERLINK("http://www.youtube.com/channel/UCwnsrEVkVOvGMc934DSFRXg")</f>
        <v>http://www.youtube.com/channel/UCwnsrEVkVOvGMc934DSFRXg</v>
      </c>
      <c r="U193" s="90" t="s">
        <v>1224</v>
      </c>
      <c r="V193" s="90" t="s">
        <v>1227</v>
      </c>
      <c r="W193" s="93" t="str">
        <f>HYPERLINK("https://www.youtube.com/watch?v=L3Ob_r4yk60")</f>
        <v>https://www.youtube.com/watch?v=L3Ob_r4yk60</v>
      </c>
      <c r="X193" s="90" t="s">
        <v>326</v>
      </c>
      <c r="Y193" s="90">
        <v>0</v>
      </c>
      <c r="Z193" s="96">
        <v>43912.792766203704</v>
      </c>
      <c r="AA193" s="96">
        <v>43912.792766203704</v>
      </c>
      <c r="AB193" s="90"/>
      <c r="AC193" s="90"/>
      <c r="AD193" s="90"/>
      <c r="AE193" s="90">
        <v>2</v>
      </c>
      <c r="AF193" s="89" t="str">
        <f>REPLACE(INDEX(GroupVertices[Group],MATCH(Edges[[#This Row],[Vertex 1]],GroupVertices[Vertex],0)),1,1,"")</f>
        <v>9</v>
      </c>
      <c r="AG193" s="89" t="str">
        <f>REPLACE(INDEX(GroupVertices[Group],MATCH(Edges[[#This Row],[Vertex 2]],GroupVertices[Vertex],0)),1,1,"")</f>
        <v>9</v>
      </c>
      <c r="AH193" s="48">
        <v>0</v>
      </c>
      <c r="AI193" s="49">
        <v>0</v>
      </c>
      <c r="AJ193" s="48">
        <v>1</v>
      </c>
      <c r="AK193" s="49">
        <v>7.142857142857143</v>
      </c>
      <c r="AL193" s="48">
        <v>0</v>
      </c>
      <c r="AM193" s="49">
        <v>0</v>
      </c>
      <c r="AN193" s="48">
        <v>13</v>
      </c>
      <c r="AO193" s="49">
        <v>92.85714285714286</v>
      </c>
      <c r="AP193" s="48">
        <v>14</v>
      </c>
    </row>
    <row r="194" spans="1:42" ht="15">
      <c r="A194" s="66" t="s">
        <v>873</v>
      </c>
      <c r="B194" s="66" t="s">
        <v>876</v>
      </c>
      <c r="C194" s="67" t="s">
        <v>743</v>
      </c>
      <c r="D194" s="68">
        <v>3</v>
      </c>
      <c r="E194" s="69"/>
      <c r="F194" s="70">
        <v>50</v>
      </c>
      <c r="G194" s="67"/>
      <c r="H194" s="71"/>
      <c r="I194" s="72"/>
      <c r="J194" s="72"/>
      <c r="K194" s="34" t="s">
        <v>65</v>
      </c>
      <c r="L194" s="79">
        <v>194</v>
      </c>
      <c r="M194" s="79"/>
      <c r="N194" s="74"/>
      <c r="O194" s="90" t="s">
        <v>323</v>
      </c>
      <c r="P194" s="90" t="s">
        <v>308</v>
      </c>
      <c r="Q194" s="90" t="s">
        <v>1067</v>
      </c>
      <c r="R194" s="90" t="s">
        <v>873</v>
      </c>
      <c r="S194" s="90" t="s">
        <v>1180</v>
      </c>
      <c r="T194" s="93" t="str">
        <f>HYPERLINK("http://www.youtube.com/channel/UCwnsrEVkVOvGMc934DSFRXg")</f>
        <v>http://www.youtube.com/channel/UCwnsrEVkVOvGMc934DSFRXg</v>
      </c>
      <c r="U194" s="90"/>
      <c r="V194" s="90" t="s">
        <v>1227</v>
      </c>
      <c r="W194" s="93" t="str">
        <f>HYPERLINK("https://www.youtube.com/watch?v=L3Ob_r4yk60")</f>
        <v>https://www.youtube.com/watch?v=L3Ob_r4yk60</v>
      </c>
      <c r="X194" s="90" t="s">
        <v>326</v>
      </c>
      <c r="Y194" s="90">
        <v>2</v>
      </c>
      <c r="Z194" s="96">
        <v>43912.60759259259</v>
      </c>
      <c r="AA194" s="96">
        <v>43912.60759259259</v>
      </c>
      <c r="AB194" s="90"/>
      <c r="AC194" s="90"/>
      <c r="AD194" s="90"/>
      <c r="AE194" s="90">
        <v>1</v>
      </c>
      <c r="AF194" s="89" t="str">
        <f>REPLACE(INDEX(GroupVertices[Group],MATCH(Edges[[#This Row],[Vertex 1]],GroupVertices[Vertex],0)),1,1,"")</f>
        <v>9</v>
      </c>
      <c r="AG194" s="89" t="str">
        <f>REPLACE(INDEX(GroupVertices[Group],MATCH(Edges[[#This Row],[Vertex 2]],GroupVertices[Vertex],0)),1,1,"")</f>
        <v>1</v>
      </c>
      <c r="AH194" s="48">
        <v>0</v>
      </c>
      <c r="AI194" s="49">
        <v>0</v>
      </c>
      <c r="AJ194" s="48">
        <v>0</v>
      </c>
      <c r="AK194" s="49">
        <v>0</v>
      </c>
      <c r="AL194" s="48">
        <v>0</v>
      </c>
      <c r="AM194" s="49">
        <v>0</v>
      </c>
      <c r="AN194" s="48">
        <v>20</v>
      </c>
      <c r="AO194" s="49">
        <v>100</v>
      </c>
      <c r="AP194" s="48">
        <v>20</v>
      </c>
    </row>
    <row r="195" spans="1:42" ht="15">
      <c r="A195" s="66" t="s">
        <v>872</v>
      </c>
      <c r="B195" s="66" t="s">
        <v>874</v>
      </c>
      <c r="C195" s="67" t="s">
        <v>743</v>
      </c>
      <c r="D195" s="68">
        <v>3</v>
      </c>
      <c r="E195" s="69"/>
      <c r="F195" s="70">
        <v>50</v>
      </c>
      <c r="G195" s="67"/>
      <c r="H195" s="71"/>
      <c r="I195" s="72"/>
      <c r="J195" s="72"/>
      <c r="K195" s="34" t="s">
        <v>65</v>
      </c>
      <c r="L195" s="79">
        <v>195</v>
      </c>
      <c r="M195" s="79"/>
      <c r="N195" s="74"/>
      <c r="O195" s="90" t="s">
        <v>322</v>
      </c>
      <c r="P195" s="90" t="s">
        <v>324</v>
      </c>
      <c r="Q195" s="90" t="s">
        <v>1068</v>
      </c>
      <c r="R195" s="90" t="s">
        <v>872</v>
      </c>
      <c r="S195" s="90" t="s">
        <v>1179</v>
      </c>
      <c r="T195" s="93" t="str">
        <f>HYPERLINK("http://www.youtube.com/channel/UCXMh2hN11YUaC8RvaYWFn4g")</f>
        <v>http://www.youtube.com/channel/UCXMh2hN11YUaC8RvaYWFn4g</v>
      </c>
      <c r="U195" s="90" t="s">
        <v>1225</v>
      </c>
      <c r="V195" s="90" t="s">
        <v>1227</v>
      </c>
      <c r="W195" s="93" t="str">
        <f>HYPERLINK("https://www.youtube.com/watch?v=L3Ob_r4yk60")</f>
        <v>https://www.youtube.com/watch?v=L3Ob_r4yk60</v>
      </c>
      <c r="X195" s="90" t="s">
        <v>326</v>
      </c>
      <c r="Y195" s="90">
        <v>0</v>
      </c>
      <c r="Z195" s="96">
        <v>43912.774664351855</v>
      </c>
      <c r="AA195" s="96">
        <v>43912.774664351855</v>
      </c>
      <c r="AB195" s="90"/>
      <c r="AC195" s="90"/>
      <c r="AD195" s="90"/>
      <c r="AE195" s="90">
        <v>1</v>
      </c>
      <c r="AF195" s="89" t="str">
        <f>REPLACE(INDEX(GroupVertices[Group],MATCH(Edges[[#This Row],[Vertex 1]],GroupVertices[Vertex],0)),1,1,"")</f>
        <v>9</v>
      </c>
      <c r="AG195" s="89" t="str">
        <f>REPLACE(INDEX(GroupVertices[Group],MATCH(Edges[[#This Row],[Vertex 2]],GroupVertices[Vertex],0)),1,1,"")</f>
        <v>9</v>
      </c>
      <c r="AH195" s="48">
        <v>1</v>
      </c>
      <c r="AI195" s="49">
        <v>8.333333333333334</v>
      </c>
      <c r="AJ195" s="48">
        <v>0</v>
      </c>
      <c r="AK195" s="49">
        <v>0</v>
      </c>
      <c r="AL195" s="48">
        <v>0</v>
      </c>
      <c r="AM195" s="49">
        <v>0</v>
      </c>
      <c r="AN195" s="48">
        <v>11</v>
      </c>
      <c r="AO195" s="49">
        <v>91.66666666666667</v>
      </c>
      <c r="AP195" s="48">
        <v>12</v>
      </c>
    </row>
    <row r="196" spans="1:42" ht="15">
      <c r="A196" s="66" t="s">
        <v>874</v>
      </c>
      <c r="B196" s="66" t="s">
        <v>876</v>
      </c>
      <c r="C196" s="67" t="s">
        <v>743</v>
      </c>
      <c r="D196" s="68">
        <v>3</v>
      </c>
      <c r="E196" s="69"/>
      <c r="F196" s="70">
        <v>50</v>
      </c>
      <c r="G196" s="67"/>
      <c r="H196" s="71"/>
      <c r="I196" s="72"/>
      <c r="J196" s="72"/>
      <c r="K196" s="34" t="s">
        <v>65</v>
      </c>
      <c r="L196" s="79">
        <v>196</v>
      </c>
      <c r="M196" s="79"/>
      <c r="N196" s="74"/>
      <c r="O196" s="90" t="s">
        <v>323</v>
      </c>
      <c r="P196" s="90" t="s">
        <v>308</v>
      </c>
      <c r="Q196" s="90" t="s">
        <v>1069</v>
      </c>
      <c r="R196" s="90" t="s">
        <v>874</v>
      </c>
      <c r="S196" s="90" t="s">
        <v>1181</v>
      </c>
      <c r="T196" s="93" t="str">
        <f>HYPERLINK("http://www.youtube.com/channel/UCq2ezHzepWc21jymDdA6SfQ")</f>
        <v>http://www.youtube.com/channel/UCq2ezHzepWc21jymDdA6SfQ</v>
      </c>
      <c r="U196" s="90"/>
      <c r="V196" s="90" t="s">
        <v>1227</v>
      </c>
      <c r="W196" s="93" t="str">
        <f>HYPERLINK("https://www.youtube.com/watch?v=L3Ob_r4yk60")</f>
        <v>https://www.youtube.com/watch?v=L3Ob_r4yk60</v>
      </c>
      <c r="X196" s="90" t="s">
        <v>326</v>
      </c>
      <c r="Y196" s="90">
        <v>1</v>
      </c>
      <c r="Z196" s="96">
        <v>43912.70171296296</v>
      </c>
      <c r="AA196" s="96">
        <v>43912.70171296296</v>
      </c>
      <c r="AB196" s="90"/>
      <c r="AC196" s="90"/>
      <c r="AD196" s="90"/>
      <c r="AE196" s="90">
        <v>1</v>
      </c>
      <c r="AF196" s="89" t="str">
        <f>REPLACE(INDEX(GroupVertices[Group],MATCH(Edges[[#This Row],[Vertex 1]],GroupVertices[Vertex],0)),1,1,"")</f>
        <v>9</v>
      </c>
      <c r="AG196" s="89" t="str">
        <f>REPLACE(INDEX(GroupVertices[Group],MATCH(Edges[[#This Row],[Vertex 2]],GroupVertices[Vertex],0)),1,1,"")</f>
        <v>1</v>
      </c>
      <c r="AH196" s="48">
        <v>0</v>
      </c>
      <c r="AI196" s="49">
        <v>0</v>
      </c>
      <c r="AJ196" s="48">
        <v>0</v>
      </c>
      <c r="AK196" s="49">
        <v>0</v>
      </c>
      <c r="AL196" s="48">
        <v>0</v>
      </c>
      <c r="AM196" s="49">
        <v>0</v>
      </c>
      <c r="AN196" s="48">
        <v>32</v>
      </c>
      <c r="AO196" s="49">
        <v>100</v>
      </c>
      <c r="AP196" s="48">
        <v>32</v>
      </c>
    </row>
    <row r="197" spans="1:42" ht="15">
      <c r="A197" s="66" t="s">
        <v>794</v>
      </c>
      <c r="B197" s="66" t="s">
        <v>876</v>
      </c>
      <c r="C197" s="67" t="s">
        <v>743</v>
      </c>
      <c r="D197" s="68">
        <v>3</v>
      </c>
      <c r="E197" s="69"/>
      <c r="F197" s="70">
        <v>50</v>
      </c>
      <c r="G197" s="67"/>
      <c r="H197" s="71"/>
      <c r="I197" s="72"/>
      <c r="J197" s="72"/>
      <c r="K197" s="34" t="s">
        <v>65</v>
      </c>
      <c r="L197" s="79">
        <v>197</v>
      </c>
      <c r="M197" s="79"/>
      <c r="N197" s="74"/>
      <c r="O197" s="90" t="s">
        <v>323</v>
      </c>
      <c r="P197" s="90" t="s">
        <v>308</v>
      </c>
      <c r="Q197" s="90" t="s">
        <v>1070</v>
      </c>
      <c r="R197" s="90" t="s">
        <v>794</v>
      </c>
      <c r="S197" s="90" t="s">
        <v>1101</v>
      </c>
      <c r="T197" s="93" t="str">
        <f>HYPERLINK("http://www.youtube.com/channel/UCKPAlKUaoq6_h3rj8AyguRg")</f>
        <v>http://www.youtube.com/channel/UCKPAlKUaoq6_h3rj8AyguRg</v>
      </c>
      <c r="U197" s="90"/>
      <c r="V197" s="90" t="s">
        <v>1227</v>
      </c>
      <c r="W197" s="93" t="str">
        <f>HYPERLINK("https://www.youtube.com/watch?v=L3Ob_r4yk60")</f>
        <v>https://www.youtube.com/watch?v=L3Ob_r4yk60</v>
      </c>
      <c r="X197" s="90" t="s">
        <v>326</v>
      </c>
      <c r="Y197" s="90">
        <v>0</v>
      </c>
      <c r="Z197" s="96">
        <v>43913.61891203704</v>
      </c>
      <c r="AA197" s="96">
        <v>43913.61891203704</v>
      </c>
      <c r="AB197" s="90"/>
      <c r="AC197" s="90"/>
      <c r="AD197" s="90"/>
      <c r="AE197" s="90">
        <v>1</v>
      </c>
      <c r="AF197" s="89" t="str">
        <f>REPLACE(INDEX(GroupVertices[Group],MATCH(Edges[[#This Row],[Vertex 1]],GroupVertices[Vertex],0)),1,1,"")</f>
        <v>1</v>
      </c>
      <c r="AG197" s="89" t="str">
        <f>REPLACE(INDEX(GroupVertices[Group],MATCH(Edges[[#This Row],[Vertex 2]],GroupVertices[Vertex],0)),1,1,"")</f>
        <v>1</v>
      </c>
      <c r="AH197" s="48">
        <v>0</v>
      </c>
      <c r="AI197" s="49">
        <v>0</v>
      </c>
      <c r="AJ197" s="48">
        <v>0</v>
      </c>
      <c r="AK197" s="49">
        <v>0</v>
      </c>
      <c r="AL197" s="48">
        <v>0</v>
      </c>
      <c r="AM197" s="49">
        <v>0</v>
      </c>
      <c r="AN197" s="48">
        <v>9</v>
      </c>
      <c r="AO197" s="49">
        <v>100</v>
      </c>
      <c r="AP197" s="48">
        <v>9</v>
      </c>
    </row>
    <row r="198" spans="1:42" ht="15">
      <c r="A198" s="80" t="s">
        <v>794</v>
      </c>
      <c r="B198" s="80" t="s">
        <v>794</v>
      </c>
      <c r="C198" s="81" t="s">
        <v>743</v>
      </c>
      <c r="D198" s="82">
        <v>3</v>
      </c>
      <c r="E198" s="83"/>
      <c r="F198" s="84">
        <v>50</v>
      </c>
      <c r="G198" s="81"/>
      <c r="H198" s="85"/>
      <c r="I198" s="86"/>
      <c r="J198" s="86"/>
      <c r="K198" s="34" t="s">
        <v>65</v>
      </c>
      <c r="L198" s="87">
        <v>198</v>
      </c>
      <c r="M198" s="87"/>
      <c r="N198" s="88"/>
      <c r="O198" s="91" t="s">
        <v>322</v>
      </c>
      <c r="P198" s="91" t="s">
        <v>324</v>
      </c>
      <c r="Q198" s="91" t="s">
        <v>1071</v>
      </c>
      <c r="R198" s="91" t="s">
        <v>794</v>
      </c>
      <c r="S198" s="91" t="s">
        <v>1101</v>
      </c>
      <c r="T198" s="94" t="str">
        <f>HYPERLINK("http://www.youtube.com/channel/UCKPAlKUaoq6_h3rj8AyguRg")</f>
        <v>http://www.youtube.com/channel/UCKPAlKUaoq6_h3rj8AyguRg</v>
      </c>
      <c r="U198" s="91" t="s">
        <v>1226</v>
      </c>
      <c r="V198" s="91" t="s">
        <v>1227</v>
      </c>
      <c r="W198" s="94" t="str">
        <f>HYPERLINK("https://www.youtube.com/watch?v=L3Ob_r4yk60")</f>
        <v>https://www.youtube.com/watch?v=L3Ob_r4yk60</v>
      </c>
      <c r="X198" s="91" t="s">
        <v>326</v>
      </c>
      <c r="Y198" s="91">
        <v>0</v>
      </c>
      <c r="Z198" s="97">
        <v>43913.61996527778</v>
      </c>
      <c r="AA198" s="97">
        <v>43913.61996527778</v>
      </c>
      <c r="AB198" s="91"/>
      <c r="AC198" s="91"/>
      <c r="AD198" s="91"/>
      <c r="AE198" s="91">
        <v>1</v>
      </c>
      <c r="AF198" s="89" t="str">
        <f>REPLACE(INDEX(GroupVertices[Group],MATCH(Edges[[#This Row],[Vertex 1]],GroupVertices[Vertex],0)),1,1,"")</f>
        <v>1</v>
      </c>
      <c r="AG198" s="89" t="str">
        <f>REPLACE(INDEX(GroupVertices[Group],MATCH(Edges[[#This Row],[Vertex 2]],GroupVertices[Vertex],0)),1,1,"")</f>
        <v>1</v>
      </c>
      <c r="AH198" s="48">
        <v>1</v>
      </c>
      <c r="AI198" s="49">
        <v>6.25</v>
      </c>
      <c r="AJ198" s="48">
        <v>1</v>
      </c>
      <c r="AK198" s="49">
        <v>6.25</v>
      </c>
      <c r="AL198" s="48">
        <v>0</v>
      </c>
      <c r="AM198" s="49">
        <v>0</v>
      </c>
      <c r="AN198" s="48">
        <v>14</v>
      </c>
      <c r="AO198" s="49">
        <v>87.5</v>
      </c>
      <c r="AP198" s="48">
        <v>16</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AAD1-D46B-4619-B21C-0FDEC95B3909}">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608</v>
      </c>
      <c r="B2" s="117" t="s">
        <v>609</v>
      </c>
      <c r="C2" s="52" t="s">
        <v>610</v>
      </c>
    </row>
    <row r="3" spans="1:3" ht="15">
      <c r="A3" s="116" t="s">
        <v>343</v>
      </c>
      <c r="B3" s="116" t="s">
        <v>343</v>
      </c>
      <c r="C3" s="34">
        <v>37</v>
      </c>
    </row>
    <row r="4" spans="1:3" ht="15">
      <c r="A4" s="131" t="s">
        <v>343</v>
      </c>
      <c r="B4" s="130" t="s">
        <v>344</v>
      </c>
      <c r="C4" s="34">
        <v>1</v>
      </c>
    </row>
    <row r="5" spans="1:3" ht="15">
      <c r="A5" s="131" t="s">
        <v>343</v>
      </c>
      <c r="B5" s="130" t="s">
        <v>350</v>
      </c>
      <c r="C5" s="34">
        <v>1</v>
      </c>
    </row>
    <row r="6" spans="1:3" ht="15">
      <c r="A6" s="131" t="s">
        <v>344</v>
      </c>
      <c r="B6" s="130" t="s">
        <v>343</v>
      </c>
      <c r="C6" s="34">
        <v>7</v>
      </c>
    </row>
    <row r="7" spans="1:3" ht="15">
      <c r="A7" s="131" t="s">
        <v>344</v>
      </c>
      <c r="B7" s="130" t="s">
        <v>344</v>
      </c>
      <c r="C7" s="34">
        <v>20</v>
      </c>
    </row>
    <row r="8" spans="1:3" ht="15">
      <c r="A8" s="131" t="s">
        <v>344</v>
      </c>
      <c r="B8" s="130" t="s">
        <v>346</v>
      </c>
      <c r="C8" s="34">
        <v>1</v>
      </c>
    </row>
    <row r="9" spans="1:3" ht="15">
      <c r="A9" s="131" t="s">
        <v>345</v>
      </c>
      <c r="B9" s="130" t="s">
        <v>343</v>
      </c>
      <c r="C9" s="34">
        <v>7</v>
      </c>
    </row>
    <row r="10" spans="1:3" ht="15">
      <c r="A10" s="131" t="s">
        <v>345</v>
      </c>
      <c r="B10" s="130" t="s">
        <v>344</v>
      </c>
      <c r="C10" s="34">
        <v>2</v>
      </c>
    </row>
    <row r="11" spans="1:3" ht="15">
      <c r="A11" s="131" t="s">
        <v>345</v>
      </c>
      <c r="B11" s="130" t="s">
        <v>345</v>
      </c>
      <c r="C11" s="34">
        <v>12</v>
      </c>
    </row>
    <row r="12" spans="1:3" ht="15">
      <c r="A12" s="131" t="s">
        <v>345</v>
      </c>
      <c r="B12" s="130" t="s">
        <v>346</v>
      </c>
      <c r="C12" s="34">
        <v>1</v>
      </c>
    </row>
    <row r="13" spans="1:3" ht="15">
      <c r="A13" s="131" t="s">
        <v>345</v>
      </c>
      <c r="B13" s="130" t="s">
        <v>347</v>
      </c>
      <c r="C13" s="34">
        <v>1</v>
      </c>
    </row>
    <row r="14" spans="1:3" ht="15">
      <c r="A14" s="131" t="s">
        <v>345</v>
      </c>
      <c r="B14" s="130" t="s">
        <v>348</v>
      </c>
      <c r="C14" s="34">
        <v>1</v>
      </c>
    </row>
    <row r="15" spans="1:3" ht="15">
      <c r="A15" s="131" t="s">
        <v>345</v>
      </c>
      <c r="B15" s="130" t="s">
        <v>349</v>
      </c>
      <c r="C15" s="34">
        <v>3</v>
      </c>
    </row>
    <row r="16" spans="1:3" ht="15">
      <c r="A16" s="131" t="s">
        <v>346</v>
      </c>
      <c r="B16" s="130" t="s">
        <v>343</v>
      </c>
      <c r="C16" s="34">
        <v>5</v>
      </c>
    </row>
    <row r="17" spans="1:3" ht="15">
      <c r="A17" s="131" t="s">
        <v>346</v>
      </c>
      <c r="B17" s="130" t="s">
        <v>344</v>
      </c>
      <c r="C17" s="34">
        <v>1</v>
      </c>
    </row>
    <row r="18" spans="1:3" ht="15">
      <c r="A18" s="131" t="s">
        <v>346</v>
      </c>
      <c r="B18" s="130" t="s">
        <v>346</v>
      </c>
      <c r="C18" s="34">
        <v>23</v>
      </c>
    </row>
    <row r="19" spans="1:3" ht="15">
      <c r="A19" s="131" t="s">
        <v>346</v>
      </c>
      <c r="B19" s="130" t="s">
        <v>348</v>
      </c>
      <c r="C19" s="34">
        <v>1</v>
      </c>
    </row>
    <row r="20" spans="1:3" ht="15">
      <c r="A20" s="131" t="s">
        <v>347</v>
      </c>
      <c r="B20" s="130" t="s">
        <v>343</v>
      </c>
      <c r="C20" s="34">
        <v>1</v>
      </c>
    </row>
    <row r="21" spans="1:3" ht="15">
      <c r="A21" s="131" t="s">
        <v>347</v>
      </c>
      <c r="B21" s="130" t="s">
        <v>347</v>
      </c>
      <c r="C21" s="34">
        <v>11</v>
      </c>
    </row>
    <row r="22" spans="1:3" ht="15">
      <c r="A22" s="131" t="s">
        <v>348</v>
      </c>
      <c r="B22" s="130" t="s">
        <v>343</v>
      </c>
      <c r="C22" s="34">
        <v>3</v>
      </c>
    </row>
    <row r="23" spans="1:3" ht="15">
      <c r="A23" s="131" t="s">
        <v>348</v>
      </c>
      <c r="B23" s="130" t="s">
        <v>348</v>
      </c>
      <c r="C23" s="34">
        <v>24</v>
      </c>
    </row>
    <row r="24" spans="1:3" ht="15">
      <c r="A24" s="131" t="s">
        <v>348</v>
      </c>
      <c r="B24" s="130" t="s">
        <v>349</v>
      </c>
      <c r="C24" s="34">
        <v>1</v>
      </c>
    </row>
    <row r="25" spans="1:3" ht="15">
      <c r="A25" s="131" t="s">
        <v>349</v>
      </c>
      <c r="B25" s="130" t="s">
        <v>343</v>
      </c>
      <c r="C25" s="34">
        <v>1</v>
      </c>
    </row>
    <row r="26" spans="1:3" ht="15">
      <c r="A26" s="131" t="s">
        <v>349</v>
      </c>
      <c r="B26" s="130" t="s">
        <v>349</v>
      </c>
      <c r="C26" s="34">
        <v>11</v>
      </c>
    </row>
    <row r="27" spans="1:3" ht="15">
      <c r="A27" s="131" t="s">
        <v>350</v>
      </c>
      <c r="B27" s="130" t="s">
        <v>343</v>
      </c>
      <c r="C27" s="34">
        <v>2</v>
      </c>
    </row>
    <row r="28" spans="1:3" ht="15">
      <c r="A28" s="131" t="s">
        <v>350</v>
      </c>
      <c r="B28" s="130" t="s">
        <v>346</v>
      </c>
      <c r="C28" s="34">
        <v>1</v>
      </c>
    </row>
    <row r="29" spans="1:3" ht="15">
      <c r="A29" s="131" t="s">
        <v>350</v>
      </c>
      <c r="B29" s="130" t="s">
        <v>350</v>
      </c>
      <c r="C29" s="34">
        <v>7</v>
      </c>
    </row>
    <row r="30" spans="1:3" ht="15">
      <c r="A30" s="131" t="s">
        <v>351</v>
      </c>
      <c r="B30" s="130" t="s">
        <v>343</v>
      </c>
      <c r="C30" s="34">
        <v>3</v>
      </c>
    </row>
    <row r="31" spans="1:3" ht="15">
      <c r="A31" s="131" t="s">
        <v>351</v>
      </c>
      <c r="B31" s="130" t="s">
        <v>344</v>
      </c>
      <c r="C31" s="34">
        <v>1</v>
      </c>
    </row>
    <row r="32" spans="1:3" ht="15">
      <c r="A32" s="131" t="s">
        <v>351</v>
      </c>
      <c r="B32" s="130" t="s">
        <v>351</v>
      </c>
      <c r="C32" s="34">
        <v>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9332A-7A74-4B7E-A65D-8CEBACA4229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629</v>
      </c>
      <c r="B1" s="13" t="s">
        <v>17</v>
      </c>
    </row>
    <row r="2" spans="1:2" ht="15">
      <c r="A2" s="89" t="s">
        <v>630</v>
      </c>
      <c r="B2" s="89" t="s">
        <v>636</v>
      </c>
    </row>
    <row r="3" spans="1:2" ht="15">
      <c r="A3" s="89" t="s">
        <v>631</v>
      </c>
      <c r="B3" s="89" t="s">
        <v>637</v>
      </c>
    </row>
    <row r="4" spans="1:2" ht="15">
      <c r="A4" s="89" t="s">
        <v>632</v>
      </c>
      <c r="B4" s="89" t="s">
        <v>638</v>
      </c>
    </row>
    <row r="5" spans="1:2" ht="15">
      <c r="A5" s="89" t="s">
        <v>633</v>
      </c>
      <c r="B5" s="89" t="s">
        <v>639</v>
      </c>
    </row>
    <row r="6" spans="1:2" ht="15">
      <c r="A6" s="89" t="s">
        <v>634</v>
      </c>
      <c r="B6" s="89" t="s">
        <v>640</v>
      </c>
    </row>
    <row r="7" spans="1:2" ht="15">
      <c r="A7" s="89" t="s">
        <v>635</v>
      </c>
      <c r="B7" s="8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5A3E8-4A65-4572-A02B-1CB070015F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641</v>
      </c>
      <c r="B1" s="13" t="s">
        <v>34</v>
      </c>
    </row>
    <row r="2" spans="1:2" ht="15">
      <c r="A2" s="111" t="s">
        <v>876</v>
      </c>
      <c r="B2" s="89">
        <v>10169.648718</v>
      </c>
    </row>
    <row r="3" spans="1:2" ht="15">
      <c r="A3" s="111" t="s">
        <v>791</v>
      </c>
      <c r="B3" s="89">
        <v>2100.689784</v>
      </c>
    </row>
    <row r="4" spans="1:2" ht="15">
      <c r="A4" s="111" t="s">
        <v>780</v>
      </c>
      <c r="B4" s="89">
        <v>2001.232641</v>
      </c>
    </row>
    <row r="5" spans="1:2" ht="15">
      <c r="A5" s="111" t="s">
        <v>825</v>
      </c>
      <c r="B5" s="89">
        <v>947.169408</v>
      </c>
    </row>
    <row r="6" spans="1:2" ht="15">
      <c r="A6" s="111" t="s">
        <v>802</v>
      </c>
      <c r="B6" s="89">
        <v>826.071429</v>
      </c>
    </row>
    <row r="7" spans="1:2" ht="15">
      <c r="A7" s="111" t="s">
        <v>778</v>
      </c>
      <c r="B7" s="89">
        <v>791.665029</v>
      </c>
    </row>
    <row r="8" spans="1:2" ht="15">
      <c r="A8" s="111" t="s">
        <v>808</v>
      </c>
      <c r="B8" s="89">
        <v>752.146927</v>
      </c>
    </row>
    <row r="9" spans="1:2" ht="15">
      <c r="A9" s="111" t="s">
        <v>834</v>
      </c>
      <c r="B9" s="89">
        <v>703.543111</v>
      </c>
    </row>
    <row r="10" spans="1:2" ht="15">
      <c r="A10" s="111" t="s">
        <v>846</v>
      </c>
      <c r="B10" s="89">
        <v>694.762944</v>
      </c>
    </row>
    <row r="11" spans="1:2" ht="15">
      <c r="A11" s="111" t="s">
        <v>814</v>
      </c>
      <c r="B11" s="89">
        <v>609.559823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B5E3-0CA6-4EC4-AFB3-029BDDD06C4B}">
  <dimension ref="A1:T38"/>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0" ht="15" customHeight="1">
      <c r="A1" s="89" t="s">
        <v>642</v>
      </c>
      <c r="B1" s="89" t="s">
        <v>643</v>
      </c>
      <c r="C1" s="89" t="s">
        <v>644</v>
      </c>
      <c r="D1" s="89" t="s">
        <v>646</v>
      </c>
      <c r="E1" s="89" t="s">
        <v>645</v>
      </c>
      <c r="F1" s="89" t="s">
        <v>648</v>
      </c>
      <c r="G1" s="89" t="s">
        <v>647</v>
      </c>
      <c r="H1" s="89" t="s">
        <v>650</v>
      </c>
      <c r="I1" s="89" t="s">
        <v>649</v>
      </c>
      <c r="J1" s="89" t="s">
        <v>652</v>
      </c>
      <c r="K1" s="89" t="s">
        <v>651</v>
      </c>
      <c r="L1" s="89" t="s">
        <v>654</v>
      </c>
      <c r="M1" s="89" t="s">
        <v>653</v>
      </c>
      <c r="N1" s="89" t="s">
        <v>656</v>
      </c>
      <c r="O1" s="89" t="s">
        <v>655</v>
      </c>
      <c r="P1" s="89" t="s">
        <v>658</v>
      </c>
      <c r="Q1" s="89" t="s">
        <v>657</v>
      </c>
      <c r="R1" s="89" t="s">
        <v>660</v>
      </c>
      <c r="S1" s="89" t="s">
        <v>659</v>
      </c>
      <c r="T1" s="89" t="s">
        <v>661</v>
      </c>
    </row>
    <row r="2" spans="1:20" ht="15">
      <c r="A2" s="89"/>
      <c r="B2" s="89"/>
      <c r="C2" s="89"/>
      <c r="D2" s="89"/>
      <c r="E2" s="89"/>
      <c r="F2" s="89"/>
      <c r="G2" s="89"/>
      <c r="H2" s="89"/>
      <c r="I2" s="89"/>
      <c r="J2" s="89"/>
      <c r="K2" s="89"/>
      <c r="L2" s="89"/>
      <c r="M2" s="89"/>
      <c r="N2" s="89"/>
      <c r="O2" s="89"/>
      <c r="P2" s="89"/>
      <c r="Q2" s="89"/>
      <c r="R2" s="89"/>
      <c r="S2" s="89"/>
      <c r="T2" s="89"/>
    </row>
    <row r="4" spans="1:20" ht="15" customHeight="1">
      <c r="A4" s="89" t="s">
        <v>663</v>
      </c>
      <c r="B4" s="89" t="s">
        <v>643</v>
      </c>
      <c r="C4" s="89" t="s">
        <v>664</v>
      </c>
      <c r="D4" s="89" t="s">
        <v>646</v>
      </c>
      <c r="E4" s="89" t="s">
        <v>665</v>
      </c>
      <c r="F4" s="89" t="s">
        <v>648</v>
      </c>
      <c r="G4" s="89" t="s">
        <v>666</v>
      </c>
      <c r="H4" s="89" t="s">
        <v>650</v>
      </c>
      <c r="I4" s="89" t="s">
        <v>667</v>
      </c>
      <c r="J4" s="89" t="s">
        <v>652</v>
      </c>
      <c r="K4" s="89" t="s">
        <v>668</v>
      </c>
      <c r="L4" s="89" t="s">
        <v>654</v>
      </c>
      <c r="M4" s="89" t="s">
        <v>669</v>
      </c>
      <c r="N4" s="89" t="s">
        <v>656</v>
      </c>
      <c r="O4" s="89" t="s">
        <v>670</v>
      </c>
      <c r="P4" s="89" t="s">
        <v>658</v>
      </c>
      <c r="Q4" s="89" t="s">
        <v>671</v>
      </c>
      <c r="R4" s="89" t="s">
        <v>660</v>
      </c>
      <c r="S4" s="89" t="s">
        <v>672</v>
      </c>
      <c r="T4" s="89" t="s">
        <v>661</v>
      </c>
    </row>
    <row r="5" spans="1:20" ht="15">
      <c r="A5" s="89"/>
      <c r="B5" s="89"/>
      <c r="C5" s="89"/>
      <c r="D5" s="89"/>
      <c r="E5" s="89"/>
      <c r="F5" s="89"/>
      <c r="G5" s="89"/>
      <c r="H5" s="89"/>
      <c r="I5" s="89"/>
      <c r="J5" s="89"/>
      <c r="K5" s="89"/>
      <c r="L5" s="89"/>
      <c r="M5" s="89"/>
      <c r="N5" s="89"/>
      <c r="O5" s="89"/>
      <c r="P5" s="89"/>
      <c r="Q5" s="89"/>
      <c r="R5" s="89"/>
      <c r="S5" s="89"/>
      <c r="T5" s="89"/>
    </row>
    <row r="7" spans="1:20" ht="15" customHeight="1">
      <c r="A7" s="89" t="s">
        <v>674</v>
      </c>
      <c r="B7" s="89" t="s">
        <v>643</v>
      </c>
      <c r="C7" s="89" t="s">
        <v>675</v>
      </c>
      <c r="D7" s="89" t="s">
        <v>646</v>
      </c>
      <c r="E7" s="89" t="s">
        <v>676</v>
      </c>
      <c r="F7" s="89" t="s">
        <v>648</v>
      </c>
      <c r="G7" s="89" t="s">
        <v>677</v>
      </c>
      <c r="H7" s="89" t="s">
        <v>650</v>
      </c>
      <c r="I7" s="89" t="s">
        <v>678</v>
      </c>
      <c r="J7" s="89" t="s">
        <v>652</v>
      </c>
      <c r="K7" s="89" t="s">
        <v>679</v>
      </c>
      <c r="L7" s="89" t="s">
        <v>654</v>
      </c>
      <c r="M7" s="89" t="s">
        <v>680</v>
      </c>
      <c r="N7" s="89" t="s">
        <v>656</v>
      </c>
      <c r="O7" s="89" t="s">
        <v>681</v>
      </c>
      <c r="P7" s="89" t="s">
        <v>658</v>
      </c>
      <c r="Q7" s="89" t="s">
        <v>682</v>
      </c>
      <c r="R7" s="89" t="s">
        <v>660</v>
      </c>
      <c r="S7" s="89" t="s">
        <v>683</v>
      </c>
      <c r="T7" s="89" t="s">
        <v>661</v>
      </c>
    </row>
    <row r="8" spans="1:20" ht="15">
      <c r="A8" s="89"/>
      <c r="B8" s="89"/>
      <c r="C8" s="89"/>
      <c r="D8" s="89"/>
      <c r="E8" s="89"/>
      <c r="F8" s="89"/>
      <c r="G8" s="89"/>
      <c r="H8" s="89"/>
      <c r="I8" s="89"/>
      <c r="J8" s="89"/>
      <c r="K8" s="89"/>
      <c r="L8" s="89"/>
      <c r="M8" s="89"/>
      <c r="N8" s="89"/>
      <c r="O8" s="89"/>
      <c r="P8" s="89"/>
      <c r="Q8" s="89"/>
      <c r="R8" s="89"/>
      <c r="S8" s="89"/>
      <c r="T8" s="89"/>
    </row>
    <row r="10" spans="1:20" ht="15" customHeight="1">
      <c r="A10" s="13" t="s">
        <v>685</v>
      </c>
      <c r="B10" s="13" t="s">
        <v>643</v>
      </c>
      <c r="C10" s="13" t="s">
        <v>687</v>
      </c>
      <c r="D10" s="13" t="s">
        <v>646</v>
      </c>
      <c r="E10" s="13" t="s">
        <v>688</v>
      </c>
      <c r="F10" s="13" t="s">
        <v>648</v>
      </c>
      <c r="G10" s="13" t="s">
        <v>689</v>
      </c>
      <c r="H10" s="13" t="s">
        <v>650</v>
      </c>
      <c r="I10" s="13" t="s">
        <v>690</v>
      </c>
      <c r="J10" s="13" t="s">
        <v>652</v>
      </c>
      <c r="K10" s="13" t="s">
        <v>691</v>
      </c>
      <c r="L10" s="13" t="s">
        <v>654</v>
      </c>
      <c r="M10" s="13" t="s">
        <v>692</v>
      </c>
      <c r="N10" s="13" t="s">
        <v>656</v>
      </c>
      <c r="O10" s="13" t="s">
        <v>693</v>
      </c>
      <c r="P10" s="13" t="s">
        <v>658</v>
      </c>
      <c r="Q10" s="13" t="s">
        <v>694</v>
      </c>
      <c r="R10" s="13" t="s">
        <v>660</v>
      </c>
      <c r="S10" s="13" t="s">
        <v>695</v>
      </c>
      <c r="T10" s="13" t="s">
        <v>661</v>
      </c>
    </row>
    <row r="11" spans="1:20" ht="15">
      <c r="A11" s="92" t="s">
        <v>1347</v>
      </c>
      <c r="B11" s="89">
        <v>110</v>
      </c>
      <c r="C11" s="92" t="s">
        <v>1347</v>
      </c>
      <c r="D11" s="89">
        <v>37</v>
      </c>
      <c r="E11" s="92" t="s">
        <v>1347</v>
      </c>
      <c r="F11" s="89">
        <v>16</v>
      </c>
      <c r="G11" s="92" t="s">
        <v>1347</v>
      </c>
      <c r="H11" s="89">
        <v>20</v>
      </c>
      <c r="I11" s="92" t="s">
        <v>1347</v>
      </c>
      <c r="J11" s="89">
        <v>15</v>
      </c>
      <c r="K11" s="92" t="s">
        <v>686</v>
      </c>
      <c r="L11" s="89">
        <v>11</v>
      </c>
      <c r="M11" s="92" t="s">
        <v>686</v>
      </c>
      <c r="N11" s="89">
        <v>23</v>
      </c>
      <c r="O11" s="92" t="s">
        <v>686</v>
      </c>
      <c r="P11" s="89">
        <v>11</v>
      </c>
      <c r="Q11" s="92" t="s">
        <v>1347</v>
      </c>
      <c r="R11" s="89">
        <v>5</v>
      </c>
      <c r="S11" s="92" t="s">
        <v>1347</v>
      </c>
      <c r="T11" s="89">
        <v>10</v>
      </c>
    </row>
    <row r="12" spans="1:20" ht="15">
      <c r="A12" s="92" t="s">
        <v>686</v>
      </c>
      <c r="B12" s="89">
        <v>86</v>
      </c>
      <c r="C12" s="92" t="s">
        <v>686</v>
      </c>
      <c r="D12" s="89">
        <v>2</v>
      </c>
      <c r="E12" s="92" t="s">
        <v>686</v>
      </c>
      <c r="F12" s="89">
        <v>12</v>
      </c>
      <c r="G12" s="92" t="s">
        <v>686</v>
      </c>
      <c r="H12" s="89">
        <v>7</v>
      </c>
      <c r="I12" s="92" t="s">
        <v>686</v>
      </c>
      <c r="J12" s="89">
        <v>15</v>
      </c>
      <c r="K12" s="92" t="s">
        <v>1347</v>
      </c>
      <c r="L12" s="89">
        <v>1</v>
      </c>
      <c r="M12" s="92" t="s">
        <v>1347</v>
      </c>
      <c r="N12" s="89">
        <v>5</v>
      </c>
      <c r="O12" s="92" t="s">
        <v>1347</v>
      </c>
      <c r="P12" s="89">
        <v>1</v>
      </c>
      <c r="Q12" s="92" t="s">
        <v>686</v>
      </c>
      <c r="R12" s="89">
        <v>5</v>
      </c>
      <c r="S12" s="89"/>
      <c r="T12" s="89"/>
    </row>
    <row r="14" ht="15" customHeight="1"/>
    <row r="15" spans="1:20" ht="15" customHeight="1">
      <c r="A15" s="13" t="s">
        <v>697</v>
      </c>
      <c r="B15" s="13" t="s">
        <v>643</v>
      </c>
      <c r="C15" s="13" t="s">
        <v>698</v>
      </c>
      <c r="D15" s="13" t="s">
        <v>646</v>
      </c>
      <c r="E15" s="13" t="s">
        <v>699</v>
      </c>
      <c r="F15" s="13" t="s">
        <v>648</v>
      </c>
      <c r="G15" s="13" t="s">
        <v>700</v>
      </c>
      <c r="H15" s="13" t="s">
        <v>650</v>
      </c>
      <c r="I15" s="13" t="s">
        <v>701</v>
      </c>
      <c r="J15" s="13" t="s">
        <v>652</v>
      </c>
      <c r="K15" s="13" t="s">
        <v>702</v>
      </c>
      <c r="L15" s="13" t="s">
        <v>654</v>
      </c>
      <c r="M15" s="13" t="s">
        <v>703</v>
      </c>
      <c r="N15" s="13" t="s">
        <v>656</v>
      </c>
      <c r="O15" s="13" t="s">
        <v>704</v>
      </c>
      <c r="P15" s="13" t="s">
        <v>658</v>
      </c>
      <c r="Q15" s="13" t="s">
        <v>705</v>
      </c>
      <c r="R15" s="13" t="s">
        <v>660</v>
      </c>
      <c r="S15" s="13" t="s">
        <v>706</v>
      </c>
      <c r="T15" s="13" t="s">
        <v>661</v>
      </c>
    </row>
    <row r="16" spans="1:20" ht="15">
      <c r="A16" s="112" t="s">
        <v>373</v>
      </c>
      <c r="B16" s="112">
        <v>44</v>
      </c>
      <c r="C16" s="112" t="s">
        <v>416</v>
      </c>
      <c r="D16" s="112">
        <v>11</v>
      </c>
      <c r="E16" s="112" t="s">
        <v>373</v>
      </c>
      <c r="F16" s="112">
        <v>6</v>
      </c>
      <c r="G16" s="112" t="s">
        <v>373</v>
      </c>
      <c r="H16" s="112">
        <v>14</v>
      </c>
      <c r="I16" s="112" t="s">
        <v>417</v>
      </c>
      <c r="J16" s="112">
        <v>6</v>
      </c>
      <c r="K16" s="112" t="s">
        <v>471</v>
      </c>
      <c r="L16" s="112">
        <v>3</v>
      </c>
      <c r="M16" s="112" t="s">
        <v>403</v>
      </c>
      <c r="N16" s="112">
        <v>6</v>
      </c>
      <c r="O16" s="112" t="s">
        <v>416</v>
      </c>
      <c r="P16" s="112">
        <v>3</v>
      </c>
      <c r="Q16" s="112" t="s">
        <v>373</v>
      </c>
      <c r="R16" s="112">
        <v>3</v>
      </c>
      <c r="S16" s="112" t="s">
        <v>1252</v>
      </c>
      <c r="T16" s="112">
        <v>6</v>
      </c>
    </row>
    <row r="17" spans="1:20" ht="15">
      <c r="A17" s="112" t="s">
        <v>416</v>
      </c>
      <c r="B17" s="112">
        <v>21</v>
      </c>
      <c r="C17" s="112" t="s">
        <v>373</v>
      </c>
      <c r="D17" s="112">
        <v>8</v>
      </c>
      <c r="E17" s="112" t="s">
        <v>383</v>
      </c>
      <c r="F17" s="112">
        <v>5</v>
      </c>
      <c r="G17" s="112" t="s">
        <v>487</v>
      </c>
      <c r="H17" s="112">
        <v>6</v>
      </c>
      <c r="I17" s="112" t="s">
        <v>373</v>
      </c>
      <c r="J17" s="112">
        <v>5</v>
      </c>
      <c r="K17" s="112" t="s">
        <v>374</v>
      </c>
      <c r="L17" s="112">
        <v>3</v>
      </c>
      <c r="M17" s="112" t="s">
        <v>499</v>
      </c>
      <c r="N17" s="112">
        <v>4</v>
      </c>
      <c r="O17" s="112" t="s">
        <v>373</v>
      </c>
      <c r="P17" s="112">
        <v>3</v>
      </c>
      <c r="Q17" s="112" t="s">
        <v>387</v>
      </c>
      <c r="R17" s="112">
        <v>2</v>
      </c>
      <c r="S17" s="112" t="s">
        <v>1255</v>
      </c>
      <c r="T17" s="112">
        <v>5</v>
      </c>
    </row>
    <row r="18" spans="1:20" ht="15">
      <c r="A18" s="112" t="s">
        <v>374</v>
      </c>
      <c r="B18" s="112">
        <v>15</v>
      </c>
      <c r="C18" s="112" t="s">
        <v>380</v>
      </c>
      <c r="D18" s="112">
        <v>5</v>
      </c>
      <c r="E18" s="112" t="s">
        <v>380</v>
      </c>
      <c r="F18" s="112">
        <v>4</v>
      </c>
      <c r="G18" s="112" t="s">
        <v>416</v>
      </c>
      <c r="H18" s="112">
        <v>5</v>
      </c>
      <c r="I18" s="112" t="s">
        <v>569</v>
      </c>
      <c r="J18" s="112">
        <v>5</v>
      </c>
      <c r="K18" s="112" t="s">
        <v>373</v>
      </c>
      <c r="L18" s="112">
        <v>3</v>
      </c>
      <c r="M18" s="112" t="s">
        <v>573</v>
      </c>
      <c r="N18" s="112">
        <v>4</v>
      </c>
      <c r="O18" s="112" t="s">
        <v>398</v>
      </c>
      <c r="P18" s="112">
        <v>2</v>
      </c>
      <c r="Q18" s="112" t="s">
        <v>550</v>
      </c>
      <c r="R18" s="112">
        <v>2</v>
      </c>
      <c r="S18" s="112" t="s">
        <v>458</v>
      </c>
      <c r="T18" s="112">
        <v>3</v>
      </c>
    </row>
    <row r="19" spans="1:20" ht="15">
      <c r="A19" s="112" t="s">
        <v>499</v>
      </c>
      <c r="B19" s="112">
        <v>14</v>
      </c>
      <c r="C19" s="112" t="s">
        <v>570</v>
      </c>
      <c r="D19" s="112">
        <v>4</v>
      </c>
      <c r="E19" s="112" t="s">
        <v>495</v>
      </c>
      <c r="F19" s="112">
        <v>3</v>
      </c>
      <c r="G19" s="112" t="s">
        <v>440</v>
      </c>
      <c r="H19" s="112">
        <v>5</v>
      </c>
      <c r="I19" s="112" t="s">
        <v>393</v>
      </c>
      <c r="J19" s="112">
        <v>4</v>
      </c>
      <c r="K19" s="112" t="s">
        <v>1250</v>
      </c>
      <c r="L19" s="112">
        <v>3</v>
      </c>
      <c r="M19" s="112" t="s">
        <v>531</v>
      </c>
      <c r="N19" s="112">
        <v>3</v>
      </c>
      <c r="O19" s="112" t="s">
        <v>457</v>
      </c>
      <c r="P19" s="112">
        <v>2</v>
      </c>
      <c r="Q19" s="112" t="s">
        <v>1336</v>
      </c>
      <c r="R19" s="112">
        <v>2</v>
      </c>
      <c r="S19" s="112" t="s">
        <v>1278</v>
      </c>
      <c r="T19" s="112">
        <v>2</v>
      </c>
    </row>
    <row r="20" spans="1:20" ht="15">
      <c r="A20" s="112" t="s">
        <v>380</v>
      </c>
      <c r="B20" s="112">
        <v>14</v>
      </c>
      <c r="C20" s="112" t="s">
        <v>482</v>
      </c>
      <c r="D20" s="112">
        <v>4</v>
      </c>
      <c r="E20" s="112" t="s">
        <v>486</v>
      </c>
      <c r="F20" s="112">
        <v>3</v>
      </c>
      <c r="G20" s="112" t="s">
        <v>374</v>
      </c>
      <c r="H20" s="112">
        <v>4</v>
      </c>
      <c r="I20" s="112" t="s">
        <v>493</v>
      </c>
      <c r="J20" s="112">
        <v>4</v>
      </c>
      <c r="K20" s="112" t="s">
        <v>1251</v>
      </c>
      <c r="L20" s="112">
        <v>3</v>
      </c>
      <c r="M20" s="112" t="s">
        <v>534</v>
      </c>
      <c r="N20" s="112">
        <v>3</v>
      </c>
      <c r="O20" s="112" t="s">
        <v>400</v>
      </c>
      <c r="P20" s="112">
        <v>2</v>
      </c>
      <c r="Q20" s="112" t="s">
        <v>509</v>
      </c>
      <c r="R20" s="112">
        <v>2</v>
      </c>
      <c r="S20" s="112" t="s">
        <v>1279</v>
      </c>
      <c r="T20" s="112">
        <v>2</v>
      </c>
    </row>
    <row r="21" spans="1:20" ht="15">
      <c r="A21" s="112" t="s">
        <v>471</v>
      </c>
      <c r="B21" s="112">
        <v>11</v>
      </c>
      <c r="C21" s="112" t="s">
        <v>573</v>
      </c>
      <c r="D21" s="112">
        <v>4</v>
      </c>
      <c r="E21" s="112" t="s">
        <v>1276</v>
      </c>
      <c r="F21" s="112">
        <v>3</v>
      </c>
      <c r="G21" s="112" t="s">
        <v>406</v>
      </c>
      <c r="H21" s="112">
        <v>3</v>
      </c>
      <c r="I21" s="112" t="s">
        <v>1254</v>
      </c>
      <c r="J21" s="112">
        <v>4</v>
      </c>
      <c r="K21" s="112" t="s">
        <v>493</v>
      </c>
      <c r="L21" s="112">
        <v>2</v>
      </c>
      <c r="M21" s="112" t="s">
        <v>510</v>
      </c>
      <c r="N21" s="112">
        <v>3</v>
      </c>
      <c r="O21" s="112" t="s">
        <v>1345</v>
      </c>
      <c r="P21" s="112">
        <v>2</v>
      </c>
      <c r="Q21" s="112" t="s">
        <v>436</v>
      </c>
      <c r="R21" s="112">
        <v>2</v>
      </c>
      <c r="S21" s="112" t="s">
        <v>499</v>
      </c>
      <c r="T21" s="112">
        <v>2</v>
      </c>
    </row>
    <row r="22" spans="1:20" ht="15">
      <c r="A22" s="112" t="s">
        <v>403</v>
      </c>
      <c r="B22" s="112">
        <v>11</v>
      </c>
      <c r="C22" s="112" t="s">
        <v>1253</v>
      </c>
      <c r="D22" s="112">
        <v>3</v>
      </c>
      <c r="E22" s="112" t="s">
        <v>403</v>
      </c>
      <c r="F22" s="112">
        <v>3</v>
      </c>
      <c r="G22" s="112" t="s">
        <v>471</v>
      </c>
      <c r="H22" s="112">
        <v>3</v>
      </c>
      <c r="I22" s="112" t="s">
        <v>1260</v>
      </c>
      <c r="J22" s="112">
        <v>4</v>
      </c>
      <c r="K22" s="112" t="s">
        <v>1256</v>
      </c>
      <c r="L22" s="112">
        <v>2</v>
      </c>
      <c r="M22" s="112" t="s">
        <v>379</v>
      </c>
      <c r="N22" s="112">
        <v>3</v>
      </c>
      <c r="O22" s="112" t="s">
        <v>479</v>
      </c>
      <c r="P22" s="112">
        <v>2</v>
      </c>
      <c r="Q22" s="112" t="s">
        <v>413</v>
      </c>
      <c r="R22" s="112">
        <v>2</v>
      </c>
      <c r="S22" s="112"/>
      <c r="T22" s="112"/>
    </row>
    <row r="23" spans="1:20" ht="15">
      <c r="A23" s="112" t="s">
        <v>573</v>
      </c>
      <c r="B23" s="112">
        <v>10</v>
      </c>
      <c r="C23" s="112" t="s">
        <v>523</v>
      </c>
      <c r="D23" s="112">
        <v>3</v>
      </c>
      <c r="E23" s="112" t="s">
        <v>424</v>
      </c>
      <c r="F23" s="112">
        <v>3</v>
      </c>
      <c r="G23" s="112" t="s">
        <v>1264</v>
      </c>
      <c r="H23" s="112">
        <v>2</v>
      </c>
      <c r="I23" s="112" t="s">
        <v>546</v>
      </c>
      <c r="J23" s="112">
        <v>4</v>
      </c>
      <c r="K23" s="112" t="s">
        <v>1262</v>
      </c>
      <c r="L23" s="112">
        <v>2</v>
      </c>
      <c r="M23" s="112" t="s">
        <v>380</v>
      </c>
      <c r="N23" s="112">
        <v>3</v>
      </c>
      <c r="O23" s="112" t="s">
        <v>1250</v>
      </c>
      <c r="P23" s="112">
        <v>2</v>
      </c>
      <c r="Q23" s="112" t="s">
        <v>1338</v>
      </c>
      <c r="R23" s="112">
        <v>2</v>
      </c>
      <c r="S23" s="112"/>
      <c r="T23" s="112"/>
    </row>
    <row r="24" spans="1:20" ht="15">
      <c r="A24" s="112" t="s">
        <v>493</v>
      </c>
      <c r="B24" s="112">
        <v>10</v>
      </c>
      <c r="C24" s="112" t="s">
        <v>374</v>
      </c>
      <c r="D24" s="112">
        <v>3</v>
      </c>
      <c r="E24" s="112" t="s">
        <v>379</v>
      </c>
      <c r="F24" s="112">
        <v>3</v>
      </c>
      <c r="G24" s="112" t="s">
        <v>399</v>
      </c>
      <c r="H24" s="112">
        <v>2</v>
      </c>
      <c r="I24" s="112" t="s">
        <v>471</v>
      </c>
      <c r="J24" s="112">
        <v>3</v>
      </c>
      <c r="K24" s="112" t="s">
        <v>1340</v>
      </c>
      <c r="L24" s="112">
        <v>2</v>
      </c>
      <c r="M24" s="112" t="s">
        <v>1258</v>
      </c>
      <c r="N24" s="112">
        <v>3</v>
      </c>
      <c r="O24" s="112" t="s">
        <v>1251</v>
      </c>
      <c r="P24" s="112">
        <v>2</v>
      </c>
      <c r="Q24" s="112" t="s">
        <v>374</v>
      </c>
      <c r="R24" s="112">
        <v>2</v>
      </c>
      <c r="S24" s="112"/>
      <c r="T24" s="112"/>
    </row>
    <row r="25" spans="1:20" ht="15">
      <c r="A25" s="112" t="s">
        <v>379</v>
      </c>
      <c r="B25" s="112">
        <v>10</v>
      </c>
      <c r="C25" s="112" t="s">
        <v>493</v>
      </c>
      <c r="D25" s="112">
        <v>3</v>
      </c>
      <c r="E25" s="112" t="s">
        <v>405</v>
      </c>
      <c r="F25" s="112">
        <v>3</v>
      </c>
      <c r="G25" s="112" t="s">
        <v>1343</v>
      </c>
      <c r="H25" s="112">
        <v>2</v>
      </c>
      <c r="I25" s="112" t="s">
        <v>437</v>
      </c>
      <c r="J25" s="112">
        <v>3</v>
      </c>
      <c r="K25" s="112" t="s">
        <v>1341</v>
      </c>
      <c r="L25" s="112">
        <v>2</v>
      </c>
      <c r="M25" s="112" t="s">
        <v>1259</v>
      </c>
      <c r="N25" s="112">
        <v>3</v>
      </c>
      <c r="O25" s="112" t="s">
        <v>543</v>
      </c>
      <c r="P25" s="112">
        <v>2</v>
      </c>
      <c r="Q25" s="112" t="s">
        <v>572</v>
      </c>
      <c r="R25" s="112">
        <v>2</v>
      </c>
      <c r="S25" s="112"/>
      <c r="T25" s="112"/>
    </row>
    <row r="27" ht="15" customHeight="1"/>
    <row r="28" spans="1:20" ht="15" customHeight="1">
      <c r="A28" s="13" t="s">
        <v>709</v>
      </c>
      <c r="B28" s="13" t="s">
        <v>643</v>
      </c>
      <c r="C28" s="13" t="s">
        <v>711</v>
      </c>
      <c r="D28" s="13" t="s">
        <v>646</v>
      </c>
      <c r="E28" s="13" t="s">
        <v>713</v>
      </c>
      <c r="F28" s="13" t="s">
        <v>648</v>
      </c>
      <c r="G28" s="13" t="s">
        <v>714</v>
      </c>
      <c r="H28" s="13" t="s">
        <v>650</v>
      </c>
      <c r="I28" s="13" t="s">
        <v>715</v>
      </c>
      <c r="J28" s="13" t="s">
        <v>652</v>
      </c>
      <c r="K28" s="13" t="s">
        <v>716</v>
      </c>
      <c r="L28" s="13" t="s">
        <v>654</v>
      </c>
      <c r="M28" s="13" t="s">
        <v>717</v>
      </c>
      <c r="N28" s="13" t="s">
        <v>656</v>
      </c>
      <c r="O28" s="13" t="s">
        <v>718</v>
      </c>
      <c r="P28" s="13" t="s">
        <v>658</v>
      </c>
      <c r="Q28" s="13" t="s">
        <v>719</v>
      </c>
      <c r="R28" s="13" t="s">
        <v>660</v>
      </c>
      <c r="S28" s="13" t="s">
        <v>720</v>
      </c>
      <c r="T28" s="13" t="s">
        <v>661</v>
      </c>
    </row>
    <row r="29" spans="1:20" ht="15">
      <c r="A29" s="112" t="s">
        <v>710</v>
      </c>
      <c r="B29" s="112">
        <v>10</v>
      </c>
      <c r="C29" s="112" t="s">
        <v>710</v>
      </c>
      <c r="D29" s="112">
        <v>3</v>
      </c>
      <c r="E29" s="112" t="s">
        <v>710</v>
      </c>
      <c r="F29" s="112">
        <v>3</v>
      </c>
      <c r="G29" s="112" t="s">
        <v>1374</v>
      </c>
      <c r="H29" s="112">
        <v>2</v>
      </c>
      <c r="I29" s="112" t="s">
        <v>1364</v>
      </c>
      <c r="J29" s="112">
        <v>4</v>
      </c>
      <c r="K29" s="112" t="s">
        <v>1359</v>
      </c>
      <c r="L29" s="112">
        <v>3</v>
      </c>
      <c r="M29" s="112" t="s">
        <v>1360</v>
      </c>
      <c r="N29" s="112">
        <v>3</v>
      </c>
      <c r="O29" s="112" t="s">
        <v>712</v>
      </c>
      <c r="P29" s="112">
        <v>2</v>
      </c>
      <c r="Q29" s="112" t="s">
        <v>1382</v>
      </c>
      <c r="R29" s="112">
        <v>2</v>
      </c>
      <c r="S29" s="112" t="s">
        <v>1361</v>
      </c>
      <c r="T29" s="112">
        <v>5</v>
      </c>
    </row>
    <row r="30" spans="1:20" ht="15" customHeight="1">
      <c r="A30" s="112" t="s">
        <v>1359</v>
      </c>
      <c r="B30" s="112">
        <v>8</v>
      </c>
      <c r="C30" s="112" t="s">
        <v>1367</v>
      </c>
      <c r="D30" s="112">
        <v>2</v>
      </c>
      <c r="E30" s="112" t="s">
        <v>1365</v>
      </c>
      <c r="F30" s="112">
        <v>3</v>
      </c>
      <c r="G30" s="112" t="s">
        <v>1375</v>
      </c>
      <c r="H30" s="112">
        <v>2</v>
      </c>
      <c r="I30" s="112" t="s">
        <v>1362</v>
      </c>
      <c r="J30" s="112">
        <v>3</v>
      </c>
      <c r="K30" s="112" t="s">
        <v>1377</v>
      </c>
      <c r="L30" s="112">
        <v>2</v>
      </c>
      <c r="M30" s="112" t="s">
        <v>710</v>
      </c>
      <c r="N30" s="112">
        <v>3</v>
      </c>
      <c r="O30" s="112" t="s">
        <v>1359</v>
      </c>
      <c r="P30" s="112">
        <v>2</v>
      </c>
      <c r="Q30" s="112"/>
      <c r="R30" s="112"/>
      <c r="S30" s="112" t="s">
        <v>1366</v>
      </c>
      <c r="T30" s="112">
        <v>2</v>
      </c>
    </row>
    <row r="31" spans="1:20" ht="15">
      <c r="A31" s="112" t="s">
        <v>1360</v>
      </c>
      <c r="B31" s="112">
        <v>6</v>
      </c>
      <c r="C31" s="112" t="s">
        <v>1360</v>
      </c>
      <c r="D31" s="112">
        <v>2</v>
      </c>
      <c r="E31" s="112" t="s">
        <v>1369</v>
      </c>
      <c r="F31" s="112">
        <v>2</v>
      </c>
      <c r="G31" s="112"/>
      <c r="H31" s="112"/>
      <c r="I31" s="112" t="s">
        <v>1376</v>
      </c>
      <c r="J31" s="112">
        <v>2</v>
      </c>
      <c r="K31" s="112" t="s">
        <v>1378</v>
      </c>
      <c r="L31" s="112">
        <v>2</v>
      </c>
      <c r="M31" s="112" t="s">
        <v>1363</v>
      </c>
      <c r="N31" s="112">
        <v>3</v>
      </c>
      <c r="O31" s="112"/>
      <c r="P31" s="112"/>
      <c r="Q31" s="112"/>
      <c r="R31" s="112"/>
      <c r="S31" s="112" t="s">
        <v>1383</v>
      </c>
      <c r="T31" s="112">
        <v>2</v>
      </c>
    </row>
    <row r="32" spans="1:20" ht="15">
      <c r="A32" s="112" t="s">
        <v>1361</v>
      </c>
      <c r="B32" s="112">
        <v>5</v>
      </c>
      <c r="C32" s="112" t="s">
        <v>1368</v>
      </c>
      <c r="D32" s="112">
        <v>2</v>
      </c>
      <c r="E32" s="112" t="s">
        <v>1370</v>
      </c>
      <c r="F32" s="112">
        <v>2</v>
      </c>
      <c r="G32" s="112"/>
      <c r="H32" s="112"/>
      <c r="I32" s="112" t="s">
        <v>1359</v>
      </c>
      <c r="J32" s="112">
        <v>2</v>
      </c>
      <c r="K32" s="112"/>
      <c r="L32" s="112"/>
      <c r="M32" s="112" t="s">
        <v>1379</v>
      </c>
      <c r="N32" s="112">
        <v>2</v>
      </c>
      <c r="O32" s="112"/>
      <c r="P32" s="112"/>
      <c r="Q32" s="112"/>
      <c r="R32" s="112"/>
      <c r="S32" s="112"/>
      <c r="T32" s="112"/>
    </row>
    <row r="33" spans="1:20" ht="15">
      <c r="A33" s="112" t="s">
        <v>1362</v>
      </c>
      <c r="B33" s="112">
        <v>5</v>
      </c>
      <c r="C33" s="112"/>
      <c r="D33" s="112"/>
      <c r="E33" s="112" t="s">
        <v>1371</v>
      </c>
      <c r="F33" s="112">
        <v>2</v>
      </c>
      <c r="G33" s="112"/>
      <c r="H33" s="112"/>
      <c r="I33" s="112"/>
      <c r="J33" s="112"/>
      <c r="K33" s="112"/>
      <c r="L33" s="112"/>
      <c r="M33" s="112" t="s">
        <v>712</v>
      </c>
      <c r="N33" s="112">
        <v>2</v>
      </c>
      <c r="O33" s="112"/>
      <c r="P33" s="112"/>
      <c r="Q33" s="112"/>
      <c r="R33" s="112"/>
      <c r="S33" s="112"/>
      <c r="T33" s="112"/>
    </row>
    <row r="34" spans="1:20" ht="15">
      <c r="A34" s="112" t="s">
        <v>712</v>
      </c>
      <c r="B34" s="112">
        <v>5</v>
      </c>
      <c r="C34" s="112"/>
      <c r="D34" s="112"/>
      <c r="E34" s="112" t="s">
        <v>1372</v>
      </c>
      <c r="F34" s="112">
        <v>2</v>
      </c>
      <c r="G34" s="112"/>
      <c r="H34" s="112"/>
      <c r="I34" s="112"/>
      <c r="J34" s="112"/>
      <c r="K34" s="112"/>
      <c r="L34" s="112"/>
      <c r="M34" s="112" t="s">
        <v>1380</v>
      </c>
      <c r="N34" s="112">
        <v>2</v>
      </c>
      <c r="O34" s="112"/>
      <c r="P34" s="112"/>
      <c r="Q34" s="112"/>
      <c r="R34" s="112"/>
      <c r="S34" s="112"/>
      <c r="T34" s="112"/>
    </row>
    <row r="35" spans="1:20" ht="15" customHeight="1">
      <c r="A35" s="112" t="s">
        <v>1363</v>
      </c>
      <c r="B35" s="112">
        <v>4</v>
      </c>
      <c r="C35" s="112"/>
      <c r="D35" s="112"/>
      <c r="E35" s="112" t="s">
        <v>1373</v>
      </c>
      <c r="F35" s="112">
        <v>2</v>
      </c>
      <c r="G35" s="112"/>
      <c r="H35" s="112"/>
      <c r="I35" s="112"/>
      <c r="J35" s="112"/>
      <c r="K35" s="112"/>
      <c r="L35" s="112"/>
      <c r="M35" s="112" t="s">
        <v>1381</v>
      </c>
      <c r="N35" s="112">
        <v>2</v>
      </c>
      <c r="O35" s="112"/>
      <c r="P35" s="112"/>
      <c r="Q35" s="112"/>
      <c r="R35" s="112"/>
      <c r="S35" s="112"/>
      <c r="T35" s="112"/>
    </row>
    <row r="36" spans="1:20" ht="15">
      <c r="A36" s="112" t="s">
        <v>1364</v>
      </c>
      <c r="B36" s="112">
        <v>4</v>
      </c>
      <c r="C36" s="112"/>
      <c r="D36" s="112"/>
      <c r="E36" s="112"/>
      <c r="F36" s="112"/>
      <c r="G36" s="112"/>
      <c r="H36" s="112"/>
      <c r="I36" s="112"/>
      <c r="J36" s="112"/>
      <c r="K36" s="112"/>
      <c r="L36" s="112"/>
      <c r="M36" s="112"/>
      <c r="N36" s="112"/>
      <c r="O36" s="112"/>
      <c r="P36" s="112"/>
      <c r="Q36" s="112"/>
      <c r="R36" s="112"/>
      <c r="S36" s="112"/>
      <c r="T36" s="112"/>
    </row>
    <row r="37" spans="1:20" ht="15">
      <c r="A37" s="112" t="s">
        <v>1365</v>
      </c>
      <c r="B37" s="112">
        <v>3</v>
      </c>
      <c r="C37" s="112"/>
      <c r="D37" s="112"/>
      <c r="E37" s="112"/>
      <c r="F37" s="112"/>
      <c r="G37" s="112"/>
      <c r="H37" s="112"/>
      <c r="I37" s="112"/>
      <c r="J37" s="112"/>
      <c r="K37" s="112"/>
      <c r="L37" s="112"/>
      <c r="M37" s="112"/>
      <c r="N37" s="112"/>
      <c r="O37" s="112"/>
      <c r="P37" s="112"/>
      <c r="Q37" s="112"/>
      <c r="R37" s="112"/>
      <c r="S37" s="112"/>
      <c r="T37" s="112"/>
    </row>
    <row r="38" spans="1:20" ht="15">
      <c r="A38" s="112" t="s">
        <v>1366</v>
      </c>
      <c r="B38" s="112">
        <v>2</v>
      </c>
      <c r="C38" s="112"/>
      <c r="D38" s="112"/>
      <c r="E38" s="112"/>
      <c r="F38" s="112"/>
      <c r="G38" s="112"/>
      <c r="H38" s="112"/>
      <c r="I38" s="112"/>
      <c r="J38" s="112"/>
      <c r="K38" s="112"/>
      <c r="L38" s="112"/>
      <c r="M38" s="112"/>
      <c r="N38" s="112"/>
      <c r="O38" s="112"/>
      <c r="P38" s="112"/>
      <c r="Q38" s="112"/>
      <c r="R38" s="112"/>
      <c r="S38" s="112"/>
      <c r="T38" s="112"/>
    </row>
    <row r="48" ht="15" customHeight="1"/>
  </sheetData>
  <hyperlinks>
    <hyperlink ref="A11" r:id="rId1" display="https://www.youtube.com/watch?v=L3Ob_r4yk60"/>
    <hyperlink ref="A12" r:id="rId2" display="https://www.youtube.com/watch?v="/>
    <hyperlink ref="C11" r:id="rId3" display="https://www.youtube.com/watch?v=L3Ob_r4yk60"/>
    <hyperlink ref="C12" r:id="rId4" display="https://www.youtube.com/watch?v="/>
    <hyperlink ref="E11" r:id="rId5" display="https://www.youtube.com/watch?v=L3Ob_r4yk60"/>
    <hyperlink ref="E12" r:id="rId6" display="https://www.youtube.com/watch?v="/>
    <hyperlink ref="G11" r:id="rId7" display="https://www.youtube.com/watch?v=L3Ob_r4yk60"/>
    <hyperlink ref="G12" r:id="rId8" display="https://www.youtube.com/watch?v="/>
    <hyperlink ref="I11" r:id="rId9" display="https://www.youtube.com/watch?v=L3Ob_r4yk60"/>
    <hyperlink ref="I12" r:id="rId10" display="https://www.youtube.com/watch?v="/>
    <hyperlink ref="K11" r:id="rId11" display="https://www.youtube.com/watch?v="/>
    <hyperlink ref="K12" r:id="rId12" display="https://www.youtube.com/watch?v=L3Ob_r4yk60"/>
    <hyperlink ref="M11" r:id="rId13" display="https://www.youtube.com/watch?v="/>
    <hyperlink ref="M12" r:id="rId14" display="https://www.youtube.com/watch?v=L3Ob_r4yk60"/>
    <hyperlink ref="O11" r:id="rId15" display="https://www.youtube.com/watch?v="/>
    <hyperlink ref="O12" r:id="rId16" display="https://www.youtube.com/watch?v=L3Ob_r4yk60"/>
    <hyperlink ref="Q11" r:id="rId17" display="https://www.youtube.com/watch?v=L3Ob_r4yk60"/>
    <hyperlink ref="Q12" r:id="rId18" display="https://www.youtube.com/watch?v="/>
    <hyperlink ref="S11" r:id="rId19" display="https://www.youtube.com/watch?v=L3Ob_r4yk60"/>
  </hyperlinks>
  <printOptions/>
  <pageMargins left="0.7" right="0.7" top="0.75" bottom="0.75" header="0.3" footer="0.3"/>
  <pageSetup orientation="portrait" paperSize="9"/>
  <tableParts>
    <tablePart r:id="rId21"/>
    <tablePart r:id="rId25"/>
    <tablePart r:id="rId22"/>
    <tablePart r:id="rId23"/>
    <tablePart r:id="rId24"/>
    <tablePart r:id="rId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AEFB-340C-4C1D-91D3-BD7139F27A00}">
  <dimension ref="A25:B35"/>
  <sheetViews>
    <sheetView tabSelected="1" workbookViewId="0" topLeftCell="A1"/>
  </sheetViews>
  <sheetFormatPr defaultColWidth="9.140625" defaultRowHeight="15"/>
  <cols>
    <col min="1" max="1" width="13.140625" style="0" bestFit="1" customWidth="1"/>
    <col min="2" max="2" width="20.140625" style="0" bestFit="1" customWidth="1"/>
  </cols>
  <sheetData>
    <row r="25" spans="1:2" ht="15">
      <c r="A25" s="120" t="s">
        <v>735</v>
      </c>
      <c r="B25" t="s">
        <v>734</v>
      </c>
    </row>
    <row r="26" spans="1:2" ht="15">
      <c r="A26" s="121" t="s">
        <v>446</v>
      </c>
      <c r="B26" s="3">
        <v>196</v>
      </c>
    </row>
    <row r="27" spans="1:2" ht="15">
      <c r="A27" s="122" t="s">
        <v>737</v>
      </c>
      <c r="B27" s="3">
        <v>194</v>
      </c>
    </row>
    <row r="28" spans="1:2" ht="15">
      <c r="A28" s="123" t="s">
        <v>738</v>
      </c>
      <c r="B28" s="3">
        <v>173</v>
      </c>
    </row>
    <row r="29" spans="1:2" ht="15">
      <c r="A29" s="123" t="s">
        <v>739</v>
      </c>
      <c r="B29" s="3">
        <v>15</v>
      </c>
    </row>
    <row r="30" spans="1:2" ht="15">
      <c r="A30" s="123" t="s">
        <v>740</v>
      </c>
      <c r="B30" s="3">
        <v>3</v>
      </c>
    </row>
    <row r="31" spans="1:2" ht="15">
      <c r="A31" s="123" t="s">
        <v>741</v>
      </c>
      <c r="B31" s="3">
        <v>3</v>
      </c>
    </row>
    <row r="32" spans="1:2" ht="15">
      <c r="A32" s="122" t="s">
        <v>742</v>
      </c>
      <c r="B32" s="3">
        <v>2</v>
      </c>
    </row>
    <row r="33" spans="1:2" ht="15">
      <c r="A33" s="123" t="s">
        <v>1618</v>
      </c>
      <c r="B33" s="3">
        <v>1</v>
      </c>
    </row>
    <row r="34" spans="1:2" ht="15">
      <c r="A34" s="123" t="s">
        <v>1619</v>
      </c>
      <c r="B34" s="3">
        <v>1</v>
      </c>
    </row>
    <row r="35" spans="1:2" ht="15">
      <c r="A35" s="121" t="s">
        <v>736</v>
      </c>
      <c r="B35" s="3">
        <v>196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6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12.7109375" style="0" bestFit="1" customWidth="1"/>
    <col min="64" max="64" width="13.28125" style="0" bestFit="1" customWidth="1"/>
    <col min="65" max="65" width="20.57421875" style="0" bestFit="1" customWidth="1"/>
    <col min="66" max="66" width="22.7109375" style="0" bestFit="1" customWidth="1"/>
    <col min="67" max="67" width="20.57421875" style="0" bestFit="1" customWidth="1"/>
    <col min="68" max="68" width="22.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309</v>
      </c>
      <c r="AG2" s="13" t="s">
        <v>310</v>
      </c>
      <c r="AH2" s="13" t="s">
        <v>311</v>
      </c>
      <c r="AI2" s="13" t="s">
        <v>329</v>
      </c>
      <c r="AJ2" s="13" t="s">
        <v>330</v>
      </c>
      <c r="AK2" s="13" t="s">
        <v>331</v>
      </c>
      <c r="AL2" s="13" t="s">
        <v>332</v>
      </c>
      <c r="AM2" s="13" t="s">
        <v>333</v>
      </c>
      <c r="AN2" s="13" t="s">
        <v>334</v>
      </c>
      <c r="AO2" s="13" t="s">
        <v>335</v>
      </c>
      <c r="AP2" s="13" t="s">
        <v>336</v>
      </c>
      <c r="AQ2" s="13" t="s">
        <v>337</v>
      </c>
      <c r="AR2" s="13" t="s">
        <v>338</v>
      </c>
      <c r="AS2" s="13" t="s">
        <v>339</v>
      </c>
      <c r="AT2" s="13" t="s">
        <v>340</v>
      </c>
      <c r="AU2" s="13" t="s">
        <v>361</v>
      </c>
      <c r="AV2" s="115" t="s">
        <v>597</v>
      </c>
      <c r="AW2" s="115" t="s">
        <v>598</v>
      </c>
      <c r="AX2" s="115" t="s">
        <v>599</v>
      </c>
      <c r="AY2" s="115" t="s">
        <v>600</v>
      </c>
      <c r="AZ2" s="115" t="s">
        <v>601</v>
      </c>
      <c r="BA2" s="115" t="s">
        <v>602</v>
      </c>
      <c r="BB2" s="115" t="s">
        <v>603</v>
      </c>
      <c r="BC2" s="115" t="s">
        <v>604</v>
      </c>
      <c r="BD2" s="115" t="s">
        <v>606</v>
      </c>
      <c r="BE2" s="115" t="s">
        <v>722</v>
      </c>
      <c r="BF2" s="115" t="s">
        <v>723</v>
      </c>
      <c r="BG2" s="115" t="s">
        <v>724</v>
      </c>
      <c r="BH2" s="115" t="s">
        <v>725</v>
      </c>
      <c r="BI2" s="115" t="s">
        <v>726</v>
      </c>
      <c r="BJ2" s="115" t="s">
        <v>727</v>
      </c>
      <c r="BK2" s="115" t="s">
        <v>728</v>
      </c>
      <c r="BL2" s="115" t="s">
        <v>729</v>
      </c>
      <c r="BM2" s="115" t="s">
        <v>730</v>
      </c>
      <c r="BN2" s="115" t="s">
        <v>731</v>
      </c>
      <c r="BO2" s="115" t="s">
        <v>732</v>
      </c>
      <c r="BP2" s="115" t="s">
        <v>733</v>
      </c>
      <c r="BQ2" s="3"/>
      <c r="BR2" s="3"/>
    </row>
    <row r="3" spans="1:70" ht="15" customHeight="1">
      <c r="A3" s="66" t="s">
        <v>875</v>
      </c>
      <c r="B3" s="67"/>
      <c r="C3" s="67"/>
      <c r="D3" s="68">
        <v>200</v>
      </c>
      <c r="E3" s="70"/>
      <c r="F3" s="98" t="str">
        <f>HYPERLINK("https://yt3.ggpht.com/a/AATXAJxUgLPHczmwbwGEdicW_RlJJgCu0h14EMyNF9P7OA=s88-c-k-c0xffffffff-no-rj-mo")</f>
        <v>https://yt3.ggpht.com/a/AATXAJxUgLPHczmwbwGEdicW_RlJJgCu0h14EMyNF9P7OA=s88-c-k-c0xffffffff-no-rj-mo</v>
      </c>
      <c r="G3" s="67"/>
      <c r="H3" s="71" t="s">
        <v>1182</v>
      </c>
      <c r="I3" s="72"/>
      <c r="J3" s="72" t="s">
        <v>159</v>
      </c>
      <c r="K3" s="71" t="s">
        <v>1182</v>
      </c>
      <c r="L3" s="75">
        <v>1</v>
      </c>
      <c r="M3" s="76">
        <v>1518.667236328125</v>
      </c>
      <c r="N3" s="76">
        <v>3727.950927734375</v>
      </c>
      <c r="O3" s="77"/>
      <c r="P3" s="78"/>
      <c r="Q3" s="78"/>
      <c r="R3" s="48"/>
      <c r="S3" s="48">
        <v>0</v>
      </c>
      <c r="T3" s="48">
        <v>1</v>
      </c>
      <c r="U3" s="49">
        <v>0</v>
      </c>
      <c r="V3" s="49">
        <v>0.002551</v>
      </c>
      <c r="W3" s="49">
        <v>0.002293</v>
      </c>
      <c r="X3" s="49">
        <v>0.42927</v>
      </c>
      <c r="Y3" s="49">
        <v>0</v>
      </c>
      <c r="Z3" s="49">
        <v>0</v>
      </c>
      <c r="AA3" s="73">
        <v>3</v>
      </c>
      <c r="AB3" s="73"/>
      <c r="AC3" s="74"/>
      <c r="AD3" s="89" t="s">
        <v>1182</v>
      </c>
      <c r="AE3" s="89"/>
      <c r="AF3" s="89"/>
      <c r="AG3" s="89"/>
      <c r="AH3" s="89"/>
      <c r="AI3" s="89"/>
      <c r="AJ3" s="95">
        <v>41494.7471875</v>
      </c>
      <c r="AK3" s="92" t="str">
        <f>HYPERLINK("https://yt3.ggpht.com/a/AATXAJxUgLPHczmwbwGEdicW_RlJJgCu0h14EMyNF9P7OA=s88-c-k-c0xffffffff-no-rj-mo")</f>
        <v>https://yt3.ggpht.com/a/AATXAJxUgLPHczmwbwGEdicW_RlJJgCu0h14EMyNF9P7OA=s88-c-k-c0xffffffff-no-rj-mo</v>
      </c>
      <c r="AL3" s="89">
        <v>0</v>
      </c>
      <c r="AM3" s="89">
        <v>0</v>
      </c>
      <c r="AN3" s="89">
        <v>4</v>
      </c>
      <c r="AO3" s="89" t="b">
        <v>0</v>
      </c>
      <c r="AP3" s="89">
        <v>0</v>
      </c>
      <c r="AQ3" s="89"/>
      <c r="AR3" s="89"/>
      <c r="AS3" s="89" t="s">
        <v>341</v>
      </c>
      <c r="AT3" s="92" t="str">
        <f>HYPERLINK("https://www.youtube.com/channel/UC-k5kdcnYfmOPIdFeKadsWw")</f>
        <v>https://www.youtube.com/channel/UC-k5kdcnYfmOPIdFeKadsWw</v>
      </c>
      <c r="AU3" s="89" t="str">
        <f>REPLACE(INDEX(GroupVertices[Group],MATCH(Vertices[[#This Row],[Vertex]],GroupVertices[Vertex],0)),1,1,"")</f>
        <v>1</v>
      </c>
      <c r="AV3" s="48">
        <v>2</v>
      </c>
      <c r="AW3" s="49">
        <v>2.6666666666666665</v>
      </c>
      <c r="AX3" s="48">
        <v>6</v>
      </c>
      <c r="AY3" s="49">
        <v>8</v>
      </c>
      <c r="AZ3" s="48">
        <v>0</v>
      </c>
      <c r="BA3" s="49">
        <v>0</v>
      </c>
      <c r="BB3" s="48">
        <v>67</v>
      </c>
      <c r="BC3" s="49">
        <v>89.33333333333333</v>
      </c>
      <c r="BD3" s="48">
        <v>75</v>
      </c>
      <c r="BE3" s="48"/>
      <c r="BF3" s="48"/>
      <c r="BG3" s="48"/>
      <c r="BH3" s="48"/>
      <c r="BI3" s="48"/>
      <c r="BJ3" s="48"/>
      <c r="BK3" s="48" t="s">
        <v>1347</v>
      </c>
      <c r="BL3" s="48" t="s">
        <v>1347</v>
      </c>
      <c r="BM3" s="119" t="s">
        <v>1392</v>
      </c>
      <c r="BN3" s="119" t="s">
        <v>1392</v>
      </c>
      <c r="BO3" s="119" t="s">
        <v>1511</v>
      </c>
      <c r="BP3" s="119" t="s">
        <v>1511</v>
      </c>
      <c r="BQ3" s="3"/>
      <c r="BR3" s="3"/>
    </row>
    <row r="4" spans="1:73" ht="15">
      <c r="A4" s="66" t="s">
        <v>766</v>
      </c>
      <c r="B4" s="67"/>
      <c r="C4" s="67"/>
      <c r="D4" s="68">
        <v>680</v>
      </c>
      <c r="E4" s="124"/>
      <c r="F4" s="98" t="str">
        <f>HYPERLINK("https://yt3.ggpht.com/a/AATXAJw_RnQ4BDnO3LI2TPFJ0s4riUTSMY_sAIn0ukCBtg=s88-c-k-c0xffffffff-no-rj-mo")</f>
        <v>https://yt3.ggpht.com/a/AATXAJw_RnQ4BDnO3LI2TPFJ0s4riUTSMY_sAIn0ukCBtg=s88-c-k-c0xffffffff-no-rj-mo</v>
      </c>
      <c r="G4" s="125"/>
      <c r="H4" s="71" t="s">
        <v>1073</v>
      </c>
      <c r="I4" s="72"/>
      <c r="J4" s="126" t="s">
        <v>75</v>
      </c>
      <c r="K4" s="71" t="s">
        <v>1073</v>
      </c>
      <c r="L4" s="127">
        <v>715.1428571428571</v>
      </c>
      <c r="M4" s="76">
        <v>1769.8326416015625</v>
      </c>
      <c r="N4" s="76">
        <v>5266.9326171875</v>
      </c>
      <c r="O4" s="77"/>
      <c r="P4" s="78"/>
      <c r="Q4" s="78"/>
      <c r="R4" s="128"/>
      <c r="S4" s="48">
        <v>3</v>
      </c>
      <c r="T4" s="48">
        <v>2</v>
      </c>
      <c r="U4" s="49">
        <v>218</v>
      </c>
      <c r="V4" s="49">
        <v>0.003534</v>
      </c>
      <c r="W4" s="49">
        <v>0.017158</v>
      </c>
      <c r="X4" s="49">
        <v>1.314214</v>
      </c>
      <c r="Y4" s="49">
        <v>0.16666666666666666</v>
      </c>
      <c r="Z4" s="49">
        <v>0</v>
      </c>
      <c r="AA4" s="73">
        <v>4</v>
      </c>
      <c r="AB4" s="73"/>
      <c r="AC4" s="74"/>
      <c r="AD4" s="90" t="s">
        <v>1073</v>
      </c>
      <c r="AE4" s="90"/>
      <c r="AF4" s="90"/>
      <c r="AG4" s="90"/>
      <c r="AH4" s="90"/>
      <c r="AI4" s="90"/>
      <c r="AJ4" s="96">
        <v>41719.42668981481</v>
      </c>
      <c r="AK4" s="93" t="str">
        <f>HYPERLINK("https://yt3.ggpht.com/a/AATXAJw_RnQ4BDnO3LI2TPFJ0s4riUTSMY_sAIn0ukCBtg=s88-c-k-c0xffffffff-no-rj-mo")</f>
        <v>https://yt3.ggpht.com/a/AATXAJw_RnQ4BDnO3LI2TPFJ0s4riUTSMY_sAIn0ukCBtg=s88-c-k-c0xffffffff-no-rj-mo</v>
      </c>
      <c r="AL4" s="90">
        <v>0</v>
      </c>
      <c r="AM4" s="90">
        <v>0</v>
      </c>
      <c r="AN4" s="90">
        <v>21</v>
      </c>
      <c r="AO4" s="90" t="b">
        <v>0</v>
      </c>
      <c r="AP4" s="90">
        <v>0</v>
      </c>
      <c r="AQ4" s="90"/>
      <c r="AR4" s="90"/>
      <c r="AS4" s="90" t="s">
        <v>341</v>
      </c>
      <c r="AT4" s="93" t="str">
        <f>HYPERLINK("https://www.youtube.com/channel/UC7x9_kEXL1ZApi5VyfWCY_A")</f>
        <v>https://www.youtube.com/channel/UC7x9_kEXL1ZApi5VyfWCY_A</v>
      </c>
      <c r="AU4" s="89" t="str">
        <f>REPLACE(INDEX(GroupVertices[Group],MATCH(Vertices[[#This Row],[Vertex]],GroupVertices[Vertex],0)),1,1,"")</f>
        <v>1</v>
      </c>
      <c r="AV4" s="48">
        <v>8</v>
      </c>
      <c r="AW4" s="49">
        <v>8.080808080808081</v>
      </c>
      <c r="AX4" s="48">
        <v>2</v>
      </c>
      <c r="AY4" s="49">
        <v>2.0202020202020203</v>
      </c>
      <c r="AZ4" s="48">
        <v>0</v>
      </c>
      <c r="BA4" s="49">
        <v>0</v>
      </c>
      <c r="BB4" s="48">
        <v>89</v>
      </c>
      <c r="BC4" s="49">
        <v>89.8989898989899</v>
      </c>
      <c r="BD4" s="48">
        <v>99</v>
      </c>
      <c r="BE4" s="48"/>
      <c r="BF4" s="48"/>
      <c r="BG4" s="48"/>
      <c r="BH4" s="48"/>
      <c r="BI4" s="48"/>
      <c r="BJ4" s="48"/>
      <c r="BK4" s="48" t="s">
        <v>1347</v>
      </c>
      <c r="BL4" s="48" t="s">
        <v>1347</v>
      </c>
      <c r="BM4" s="119" t="s">
        <v>1393</v>
      </c>
      <c r="BN4" s="119" t="s">
        <v>1393</v>
      </c>
      <c r="BO4" s="119" t="s">
        <v>1512</v>
      </c>
      <c r="BP4" s="119" t="s">
        <v>1512</v>
      </c>
      <c r="BQ4" s="2"/>
      <c r="BR4" s="3"/>
      <c r="BS4" s="3"/>
      <c r="BT4" s="3"/>
      <c r="BU4" s="3"/>
    </row>
    <row r="5" spans="1:73" ht="15">
      <c r="A5" s="66" t="s">
        <v>767</v>
      </c>
      <c r="B5" s="67"/>
      <c r="C5" s="67"/>
      <c r="D5" s="68">
        <v>360</v>
      </c>
      <c r="E5" s="124"/>
      <c r="F5" s="98" t="str">
        <f>HYPERLINK("https://yt3.ggpht.com/a/AATXAJxqgEQpNXVfQpMRQmVloRJ3WgHZoN9tsxrNIiGu=s88-c-k-c0xffffffff-no-rj-mo")</f>
        <v>https://yt3.ggpht.com/a/AATXAJxqgEQpNXVfQpMRQmVloRJ3WgHZoN9tsxrNIiGu=s88-c-k-c0xffffffff-no-rj-mo</v>
      </c>
      <c r="G5" s="125"/>
      <c r="H5" s="71" t="s">
        <v>1074</v>
      </c>
      <c r="I5" s="72"/>
      <c r="J5" s="126" t="s">
        <v>75</v>
      </c>
      <c r="K5" s="71" t="s">
        <v>1074</v>
      </c>
      <c r="L5" s="127">
        <v>239.04761904761904</v>
      </c>
      <c r="M5" s="76">
        <v>1468.172607421875</v>
      </c>
      <c r="N5" s="76">
        <v>5591.04931640625</v>
      </c>
      <c r="O5" s="77"/>
      <c r="P5" s="78"/>
      <c r="Q5" s="78"/>
      <c r="R5" s="128"/>
      <c r="S5" s="48">
        <v>1</v>
      </c>
      <c r="T5" s="48">
        <v>4</v>
      </c>
      <c r="U5" s="49">
        <v>235.5</v>
      </c>
      <c r="V5" s="49">
        <v>0.003623</v>
      </c>
      <c r="W5" s="49">
        <v>0.01913</v>
      </c>
      <c r="X5" s="49">
        <v>1.588654</v>
      </c>
      <c r="Y5" s="49">
        <v>0.15</v>
      </c>
      <c r="Z5" s="49">
        <v>0</v>
      </c>
      <c r="AA5" s="73">
        <v>5</v>
      </c>
      <c r="AB5" s="73"/>
      <c r="AC5" s="74"/>
      <c r="AD5" s="90" t="s">
        <v>1074</v>
      </c>
      <c r="AE5" s="90" t="s">
        <v>1229</v>
      </c>
      <c r="AF5" s="90"/>
      <c r="AG5" s="90"/>
      <c r="AH5" s="90"/>
      <c r="AI5" s="90"/>
      <c r="AJ5" s="96">
        <v>40852.645370370374</v>
      </c>
      <c r="AK5" s="93" t="str">
        <f>HYPERLINK("https://yt3.ggpht.com/a/AATXAJxqgEQpNXVfQpMRQmVloRJ3WgHZoN9tsxrNIiGu=s88-c-k-c0xffffffff-no-rj-mo")</f>
        <v>https://yt3.ggpht.com/a/AATXAJxqgEQpNXVfQpMRQmVloRJ3WgHZoN9tsxrNIiGu=s88-c-k-c0xffffffff-no-rj-mo</v>
      </c>
      <c r="AL5" s="90">
        <v>54</v>
      </c>
      <c r="AM5" s="90">
        <v>0</v>
      </c>
      <c r="AN5" s="90">
        <v>7</v>
      </c>
      <c r="AO5" s="90" t="b">
        <v>0</v>
      </c>
      <c r="AP5" s="90">
        <v>1</v>
      </c>
      <c r="AQ5" s="90"/>
      <c r="AR5" s="90"/>
      <c r="AS5" s="90" t="s">
        <v>341</v>
      </c>
      <c r="AT5" s="93" t="str">
        <f>HYPERLINK("https://www.youtube.com/channel/UCIykfDLsjZByMEXDU7XqVhg")</f>
        <v>https://www.youtube.com/channel/UCIykfDLsjZByMEXDU7XqVhg</v>
      </c>
      <c r="AU5" s="89" t="str">
        <f>REPLACE(INDEX(GroupVertices[Group],MATCH(Vertices[[#This Row],[Vertex]],GroupVertices[Vertex],0)),1,1,"")</f>
        <v>1</v>
      </c>
      <c r="AV5" s="48">
        <v>0</v>
      </c>
      <c r="AW5" s="49">
        <v>0</v>
      </c>
      <c r="AX5" s="48">
        <v>0</v>
      </c>
      <c r="AY5" s="49">
        <v>0</v>
      </c>
      <c r="AZ5" s="48">
        <v>0</v>
      </c>
      <c r="BA5" s="49">
        <v>0</v>
      </c>
      <c r="BB5" s="48">
        <v>26</v>
      </c>
      <c r="BC5" s="49">
        <v>100</v>
      </c>
      <c r="BD5" s="48">
        <v>26</v>
      </c>
      <c r="BE5" s="48"/>
      <c r="BF5" s="48"/>
      <c r="BG5" s="48"/>
      <c r="BH5" s="48"/>
      <c r="BI5" s="48"/>
      <c r="BJ5" s="48"/>
      <c r="BK5" s="48" t="s">
        <v>1348</v>
      </c>
      <c r="BL5" s="48" t="s">
        <v>1349</v>
      </c>
      <c r="BM5" s="119" t="s">
        <v>1394</v>
      </c>
      <c r="BN5" s="119" t="s">
        <v>1394</v>
      </c>
      <c r="BO5" s="119" t="s">
        <v>1513</v>
      </c>
      <c r="BP5" s="119" t="s">
        <v>1513</v>
      </c>
      <c r="BQ5" s="2"/>
      <c r="BR5" s="3"/>
      <c r="BS5" s="3"/>
      <c r="BT5" s="3"/>
      <c r="BU5" s="3"/>
    </row>
    <row r="6" spans="1:73" ht="15">
      <c r="A6" s="66" t="s">
        <v>876</v>
      </c>
      <c r="B6" s="67"/>
      <c r="C6" s="67"/>
      <c r="D6" s="68">
        <v>1000</v>
      </c>
      <c r="E6" s="124"/>
      <c r="F6" s="98" t="str">
        <f>HYPERLINK("https://yt3.ggpht.com/a/AATXAJxxvK9Xx8eVtA2Zl-WdsQ9x1cUFSATcis5S51b5xA=s88-c-k-c0xffffffff-no-rj-mo")</f>
        <v>https://yt3.ggpht.com/a/AATXAJxxvK9Xx8eVtA2Zl-WdsQ9x1cUFSATcis5S51b5xA=s88-c-k-c0xffffffff-no-rj-mo</v>
      </c>
      <c r="G6" s="125"/>
      <c r="H6" s="71" t="s">
        <v>1228</v>
      </c>
      <c r="I6" s="72"/>
      <c r="J6" s="126" t="s">
        <v>75</v>
      </c>
      <c r="K6" s="71" t="s">
        <v>1228</v>
      </c>
      <c r="L6" s="127">
        <v>9999</v>
      </c>
      <c r="M6" s="76">
        <v>2021.5064697265625</v>
      </c>
      <c r="N6" s="76">
        <v>6683.99072265625</v>
      </c>
      <c r="O6" s="77"/>
      <c r="P6" s="78"/>
      <c r="Q6" s="78"/>
      <c r="R6" s="128"/>
      <c r="S6" s="48">
        <v>42</v>
      </c>
      <c r="T6" s="48">
        <v>0</v>
      </c>
      <c r="U6" s="49">
        <v>10169.648718</v>
      </c>
      <c r="V6" s="49">
        <v>0.005618</v>
      </c>
      <c r="W6" s="49">
        <v>0.089808</v>
      </c>
      <c r="X6" s="49">
        <v>12.352628</v>
      </c>
      <c r="Y6" s="49">
        <v>0.005807200929152149</v>
      </c>
      <c r="Z6" s="49">
        <v>0</v>
      </c>
      <c r="AA6" s="73">
        <v>6</v>
      </c>
      <c r="AB6" s="73"/>
      <c r="AC6" s="74"/>
      <c r="AD6" s="90" t="s">
        <v>1228</v>
      </c>
      <c r="AE6" s="90" t="s">
        <v>1230</v>
      </c>
      <c r="AF6" s="90"/>
      <c r="AG6" s="90"/>
      <c r="AH6" s="90"/>
      <c r="AI6" s="90" t="s">
        <v>1246</v>
      </c>
      <c r="AJ6" s="96">
        <v>41456.104097222225</v>
      </c>
      <c r="AK6" s="93" t="str">
        <f>HYPERLINK("https://yt3.ggpht.com/a/AATXAJxxvK9Xx8eVtA2Zl-WdsQ9x1cUFSATcis5S51b5xA=s88-c-k-c0xffffffff-no-rj-mo")</f>
        <v>https://yt3.ggpht.com/a/AATXAJxxvK9Xx8eVtA2Zl-WdsQ9x1cUFSATcis5S51b5xA=s88-c-k-c0xffffffff-no-rj-mo</v>
      </c>
      <c r="AL6" s="90">
        <v>33044813</v>
      </c>
      <c r="AM6" s="90">
        <v>0</v>
      </c>
      <c r="AN6" s="90">
        <v>145000</v>
      </c>
      <c r="AO6" s="90" t="b">
        <v>0</v>
      </c>
      <c r="AP6" s="90">
        <v>3272</v>
      </c>
      <c r="AQ6" s="90"/>
      <c r="AR6" s="90"/>
      <c r="AS6" s="90" t="s">
        <v>341</v>
      </c>
      <c r="AT6" s="93" t="str">
        <f>HYPERLINK("https://www.youtube.com/channel/UCjRXO-HSl5XpuF-cWvtMV_g")</f>
        <v>https://www.youtube.com/channel/UCjRXO-HSl5XpuF-cWvtMV_g</v>
      </c>
      <c r="AU6" s="89" t="str">
        <f>REPLACE(INDEX(GroupVertices[Group],MATCH(Vertices[[#This Row],[Vertex]],GroupVertices[Vertex],0)),1,1,"")</f>
        <v>1</v>
      </c>
      <c r="AV6" s="48"/>
      <c r="AW6" s="49"/>
      <c r="AX6" s="48"/>
      <c r="AY6" s="49"/>
      <c r="AZ6" s="48"/>
      <c r="BA6" s="49"/>
      <c r="BB6" s="48"/>
      <c r="BC6" s="49"/>
      <c r="BD6" s="48"/>
      <c r="BE6" s="48"/>
      <c r="BF6" s="48"/>
      <c r="BG6" s="48"/>
      <c r="BH6" s="48"/>
      <c r="BI6" s="48"/>
      <c r="BJ6" s="48"/>
      <c r="BK6" s="48"/>
      <c r="BL6" s="48"/>
      <c r="BM6" s="48"/>
      <c r="BN6" s="48"/>
      <c r="BO6" s="48"/>
      <c r="BP6" s="48"/>
      <c r="BQ6" s="2"/>
      <c r="BR6" s="3"/>
      <c r="BS6" s="3"/>
      <c r="BT6" s="3"/>
      <c r="BU6" s="3"/>
    </row>
    <row r="7" spans="1:73" ht="15">
      <c r="A7" s="66" t="s">
        <v>768</v>
      </c>
      <c r="B7" s="67"/>
      <c r="C7" s="67"/>
      <c r="D7" s="68">
        <v>200</v>
      </c>
      <c r="E7" s="124"/>
      <c r="F7" s="98" t="str">
        <f>HYPERLINK("https://yt3.ggpht.com/a/AATXAJxAZKyVaKsLhsRkOv1uIDm9I1fJrlIMB8C-D3xsLg=s88-c-k-c0xffffffff-no-rj-mo")</f>
        <v>https://yt3.ggpht.com/a/AATXAJxAZKyVaKsLhsRkOv1uIDm9I1fJrlIMB8C-D3xsLg=s88-c-k-c0xffffffff-no-rj-mo</v>
      </c>
      <c r="G7" s="125"/>
      <c r="H7" s="71" t="s">
        <v>1075</v>
      </c>
      <c r="I7" s="72"/>
      <c r="J7" s="126" t="s">
        <v>159</v>
      </c>
      <c r="K7" s="71" t="s">
        <v>1075</v>
      </c>
      <c r="L7" s="127">
        <v>1</v>
      </c>
      <c r="M7" s="76">
        <v>6835.83447265625</v>
      </c>
      <c r="N7" s="76">
        <v>1856.5267333984375</v>
      </c>
      <c r="O7" s="77"/>
      <c r="P7" s="78"/>
      <c r="Q7" s="78"/>
      <c r="R7" s="128"/>
      <c r="S7" s="48">
        <v>0</v>
      </c>
      <c r="T7" s="48">
        <v>1</v>
      </c>
      <c r="U7" s="49">
        <v>0</v>
      </c>
      <c r="V7" s="49">
        <v>0.002688</v>
      </c>
      <c r="W7" s="49">
        <v>0.003061</v>
      </c>
      <c r="X7" s="49">
        <v>0.464244</v>
      </c>
      <c r="Y7" s="49">
        <v>0</v>
      </c>
      <c r="Z7" s="49">
        <v>0</v>
      </c>
      <c r="AA7" s="73">
        <v>7</v>
      </c>
      <c r="AB7" s="73"/>
      <c r="AC7" s="74"/>
      <c r="AD7" s="90" t="s">
        <v>1075</v>
      </c>
      <c r="AE7" s="90"/>
      <c r="AF7" s="90"/>
      <c r="AG7" s="90"/>
      <c r="AH7" s="90"/>
      <c r="AI7" s="90"/>
      <c r="AJ7" s="96">
        <v>40470.14230324074</v>
      </c>
      <c r="AK7" s="93" t="str">
        <f>HYPERLINK("https://yt3.ggpht.com/a/AATXAJxAZKyVaKsLhsRkOv1uIDm9I1fJrlIMB8C-D3xsLg=s88-c-k-c0xffffffff-no-rj-mo")</f>
        <v>https://yt3.ggpht.com/a/AATXAJxAZKyVaKsLhsRkOv1uIDm9I1fJrlIMB8C-D3xsLg=s88-c-k-c0xffffffff-no-rj-mo</v>
      </c>
      <c r="AL7" s="90">
        <v>0</v>
      </c>
      <c r="AM7" s="90">
        <v>0</v>
      </c>
      <c r="AN7" s="90">
        <v>3</v>
      </c>
      <c r="AO7" s="90" t="b">
        <v>0</v>
      </c>
      <c r="AP7" s="90">
        <v>0</v>
      </c>
      <c r="AQ7" s="90"/>
      <c r="AR7" s="90"/>
      <c r="AS7" s="90" t="s">
        <v>341</v>
      </c>
      <c r="AT7" s="93" t="str">
        <f>HYPERLINK("https://www.youtube.com/channel/UCFhsBKYnt6CLxukd5uqJZrA")</f>
        <v>https://www.youtube.com/channel/UCFhsBKYnt6CLxukd5uqJZrA</v>
      </c>
      <c r="AU7" s="89" t="str">
        <f>REPLACE(INDEX(GroupVertices[Group],MATCH(Vertices[[#This Row],[Vertex]],GroupVertices[Vertex],0)),1,1,"")</f>
        <v>7</v>
      </c>
      <c r="AV7" s="48">
        <v>0</v>
      </c>
      <c r="AW7" s="49">
        <v>0</v>
      </c>
      <c r="AX7" s="48">
        <v>0</v>
      </c>
      <c r="AY7" s="49">
        <v>0</v>
      </c>
      <c r="AZ7" s="48">
        <v>0</v>
      </c>
      <c r="BA7" s="49">
        <v>0</v>
      </c>
      <c r="BB7" s="48">
        <v>25</v>
      </c>
      <c r="BC7" s="49">
        <v>100</v>
      </c>
      <c r="BD7" s="48">
        <v>25</v>
      </c>
      <c r="BE7" s="48"/>
      <c r="BF7" s="48"/>
      <c r="BG7" s="48"/>
      <c r="BH7" s="48"/>
      <c r="BI7" s="48"/>
      <c r="BJ7" s="48"/>
      <c r="BK7" s="48" t="s">
        <v>686</v>
      </c>
      <c r="BL7" s="48" t="s">
        <v>686</v>
      </c>
      <c r="BM7" s="119" t="s">
        <v>1395</v>
      </c>
      <c r="BN7" s="119" t="s">
        <v>1395</v>
      </c>
      <c r="BO7" s="119" t="s">
        <v>1514</v>
      </c>
      <c r="BP7" s="119" t="s">
        <v>1514</v>
      </c>
      <c r="BQ7" s="2"/>
      <c r="BR7" s="3"/>
      <c r="BS7" s="3"/>
      <c r="BT7" s="3"/>
      <c r="BU7" s="3"/>
    </row>
    <row r="8" spans="1:73" ht="15">
      <c r="A8" s="66" t="s">
        <v>780</v>
      </c>
      <c r="B8" s="67"/>
      <c r="C8" s="67"/>
      <c r="D8" s="68">
        <v>1000</v>
      </c>
      <c r="E8" s="124"/>
      <c r="F8" s="98" t="str">
        <f>HYPERLINK("https://yt3.ggpht.com/a/AATXAJz05BYJU1lns_nNF_tA0xXizEv5ByOw5KSuPA=s88-c-k-c0xffffffff-no-rj-mo")</f>
        <v>https://yt3.ggpht.com/a/AATXAJz05BYJU1lns_nNF_tA0xXizEv5ByOw5KSuPA=s88-c-k-c0xffffffff-no-rj-mo</v>
      </c>
      <c r="G8" s="125"/>
      <c r="H8" s="71" t="s">
        <v>1087</v>
      </c>
      <c r="I8" s="72"/>
      <c r="J8" s="126" t="s">
        <v>75</v>
      </c>
      <c r="K8" s="71" t="s">
        <v>1087</v>
      </c>
      <c r="L8" s="127">
        <v>2857.5714285714284</v>
      </c>
      <c r="M8" s="76">
        <v>5440.36376953125</v>
      </c>
      <c r="N8" s="76">
        <v>1541.674072265625</v>
      </c>
      <c r="O8" s="77"/>
      <c r="P8" s="78"/>
      <c r="Q8" s="78"/>
      <c r="R8" s="128"/>
      <c r="S8" s="48">
        <v>12</v>
      </c>
      <c r="T8" s="48">
        <v>1</v>
      </c>
      <c r="U8" s="49">
        <v>2001.232641</v>
      </c>
      <c r="V8" s="49">
        <v>0.003802</v>
      </c>
      <c r="W8" s="49">
        <v>0.022907</v>
      </c>
      <c r="X8" s="49">
        <v>4.806086</v>
      </c>
      <c r="Y8" s="49">
        <v>0.00641025641025641</v>
      </c>
      <c r="Z8" s="49">
        <v>0</v>
      </c>
      <c r="AA8" s="73">
        <v>8</v>
      </c>
      <c r="AB8" s="73"/>
      <c r="AC8" s="74"/>
      <c r="AD8" s="90" t="s">
        <v>1087</v>
      </c>
      <c r="AE8" s="90"/>
      <c r="AF8" s="90"/>
      <c r="AG8" s="90"/>
      <c r="AH8" s="90"/>
      <c r="AI8" s="90"/>
      <c r="AJ8" s="96">
        <v>43809.316099537034</v>
      </c>
      <c r="AK8" s="93" t="str">
        <f>HYPERLINK("https://yt3.ggpht.com/a/AATXAJz05BYJU1lns_nNF_tA0xXizEv5ByOw5KSuPA=s88-c-k-c0xffffffff-no-rj-mo")</f>
        <v>https://yt3.ggpht.com/a/AATXAJz05BYJU1lns_nNF_tA0xXizEv5ByOw5KSuPA=s88-c-k-c0xffffffff-no-rj-mo</v>
      </c>
      <c r="AL8" s="90">
        <v>0</v>
      </c>
      <c r="AM8" s="90">
        <v>0</v>
      </c>
      <c r="AN8" s="90">
        <v>0</v>
      </c>
      <c r="AO8" s="90" t="b">
        <v>0</v>
      </c>
      <c r="AP8" s="90">
        <v>0</v>
      </c>
      <c r="AQ8" s="90"/>
      <c r="AR8" s="90"/>
      <c r="AS8" s="90" t="s">
        <v>341</v>
      </c>
      <c r="AT8" s="93" t="str">
        <f>HYPERLINK("https://www.youtube.com/channel/UCQszm97yuyMfeNLjNhLQtjg")</f>
        <v>https://www.youtube.com/channel/UCQszm97yuyMfeNLjNhLQtjg</v>
      </c>
      <c r="AU8" s="89" t="str">
        <f>REPLACE(INDEX(GroupVertices[Group],MATCH(Vertices[[#This Row],[Vertex]],GroupVertices[Vertex],0)),1,1,"")</f>
        <v>7</v>
      </c>
      <c r="AV8" s="48">
        <v>3</v>
      </c>
      <c r="AW8" s="49">
        <v>8.571428571428571</v>
      </c>
      <c r="AX8" s="48">
        <v>2</v>
      </c>
      <c r="AY8" s="49">
        <v>5.714285714285714</v>
      </c>
      <c r="AZ8" s="48">
        <v>0</v>
      </c>
      <c r="BA8" s="49">
        <v>0</v>
      </c>
      <c r="BB8" s="48">
        <v>30</v>
      </c>
      <c r="BC8" s="49">
        <v>85.71428571428571</v>
      </c>
      <c r="BD8" s="48">
        <v>35</v>
      </c>
      <c r="BE8" s="48"/>
      <c r="BF8" s="48"/>
      <c r="BG8" s="48"/>
      <c r="BH8" s="48"/>
      <c r="BI8" s="48"/>
      <c r="BJ8" s="48"/>
      <c r="BK8" s="48" t="s">
        <v>1347</v>
      </c>
      <c r="BL8" s="48" t="s">
        <v>1347</v>
      </c>
      <c r="BM8" s="119" t="s">
        <v>1396</v>
      </c>
      <c r="BN8" s="119" t="s">
        <v>1396</v>
      </c>
      <c r="BO8" s="119" t="s">
        <v>1515</v>
      </c>
      <c r="BP8" s="119" t="s">
        <v>1515</v>
      </c>
      <c r="BQ8" s="2"/>
      <c r="BR8" s="3"/>
      <c r="BS8" s="3"/>
      <c r="BT8" s="3"/>
      <c r="BU8" s="3"/>
    </row>
    <row r="9" spans="1:73" ht="15">
      <c r="A9" s="66" t="s">
        <v>769</v>
      </c>
      <c r="B9" s="67"/>
      <c r="C9" s="67"/>
      <c r="D9" s="68">
        <v>200</v>
      </c>
      <c r="E9" s="124"/>
      <c r="F9" s="98" t="str">
        <f>HYPERLINK("https://yt3.ggpht.com/a/AATXAJxQcvX7A2YP5_k0Z11S8Th0v3flEzZRTxPTPqdPeQ=s88-c-k-c0xffffffff-no-rj-mo")</f>
        <v>https://yt3.ggpht.com/a/AATXAJxQcvX7A2YP5_k0Z11S8Th0v3flEzZRTxPTPqdPeQ=s88-c-k-c0xffffffff-no-rj-mo</v>
      </c>
      <c r="G9" s="125"/>
      <c r="H9" s="71" t="s">
        <v>1076</v>
      </c>
      <c r="I9" s="72"/>
      <c r="J9" s="126" t="s">
        <v>159</v>
      </c>
      <c r="K9" s="71" t="s">
        <v>1076</v>
      </c>
      <c r="L9" s="127">
        <v>1</v>
      </c>
      <c r="M9" s="76">
        <v>5985.6259765625</v>
      </c>
      <c r="N9" s="76">
        <v>244.19558715820312</v>
      </c>
      <c r="O9" s="77"/>
      <c r="P9" s="78"/>
      <c r="Q9" s="78"/>
      <c r="R9" s="128"/>
      <c r="S9" s="48">
        <v>0</v>
      </c>
      <c r="T9" s="48">
        <v>1</v>
      </c>
      <c r="U9" s="49">
        <v>0</v>
      </c>
      <c r="V9" s="49">
        <v>0.002688</v>
      </c>
      <c r="W9" s="49">
        <v>0.003061</v>
      </c>
      <c r="X9" s="49">
        <v>0.464244</v>
      </c>
      <c r="Y9" s="49">
        <v>0</v>
      </c>
      <c r="Z9" s="49">
        <v>0</v>
      </c>
      <c r="AA9" s="73">
        <v>9</v>
      </c>
      <c r="AB9" s="73"/>
      <c r="AC9" s="74"/>
      <c r="AD9" s="90" t="s">
        <v>1076</v>
      </c>
      <c r="AE9" s="90"/>
      <c r="AF9" s="90"/>
      <c r="AG9" s="90"/>
      <c r="AH9" s="90"/>
      <c r="AI9" s="90"/>
      <c r="AJ9" s="96">
        <v>40847.17990740741</v>
      </c>
      <c r="AK9" s="93" t="str">
        <f>HYPERLINK("https://yt3.ggpht.com/a/AATXAJxQcvX7A2YP5_k0Z11S8Th0v3flEzZRTxPTPqdPeQ=s88-c-k-c0xffffffff-no-rj-mo")</f>
        <v>https://yt3.ggpht.com/a/AATXAJxQcvX7A2YP5_k0Z11S8Th0v3flEzZRTxPTPqdPeQ=s88-c-k-c0xffffffff-no-rj-mo</v>
      </c>
      <c r="AL9" s="90">
        <v>0</v>
      </c>
      <c r="AM9" s="90">
        <v>0</v>
      </c>
      <c r="AN9" s="90">
        <v>20</v>
      </c>
      <c r="AO9" s="90" t="b">
        <v>0</v>
      </c>
      <c r="AP9" s="90">
        <v>0</v>
      </c>
      <c r="AQ9" s="90"/>
      <c r="AR9" s="90"/>
      <c r="AS9" s="90" t="s">
        <v>341</v>
      </c>
      <c r="AT9" s="93" t="str">
        <f>HYPERLINK("https://www.youtube.com/channel/UCJfiDdpLkI8LSHFQuzvx3FQ")</f>
        <v>https://www.youtube.com/channel/UCJfiDdpLkI8LSHFQuzvx3FQ</v>
      </c>
      <c r="AU9" s="89" t="str">
        <f>REPLACE(INDEX(GroupVertices[Group],MATCH(Vertices[[#This Row],[Vertex]],GroupVertices[Vertex],0)),1,1,"")</f>
        <v>7</v>
      </c>
      <c r="AV9" s="48">
        <v>0</v>
      </c>
      <c r="AW9" s="49">
        <v>0</v>
      </c>
      <c r="AX9" s="48">
        <v>1</v>
      </c>
      <c r="AY9" s="49">
        <v>14.285714285714286</v>
      </c>
      <c r="AZ9" s="48">
        <v>0</v>
      </c>
      <c r="BA9" s="49">
        <v>0</v>
      </c>
      <c r="BB9" s="48">
        <v>6</v>
      </c>
      <c r="BC9" s="49">
        <v>85.71428571428571</v>
      </c>
      <c r="BD9" s="48">
        <v>7</v>
      </c>
      <c r="BE9" s="48"/>
      <c r="BF9" s="48"/>
      <c r="BG9" s="48"/>
      <c r="BH9" s="48"/>
      <c r="BI9" s="48"/>
      <c r="BJ9" s="48"/>
      <c r="BK9" s="48" t="s">
        <v>686</v>
      </c>
      <c r="BL9" s="48" t="s">
        <v>686</v>
      </c>
      <c r="BM9" s="119" t="s">
        <v>1397</v>
      </c>
      <c r="BN9" s="119" t="s">
        <v>1397</v>
      </c>
      <c r="BO9" s="119" t="s">
        <v>1516</v>
      </c>
      <c r="BP9" s="119" t="s">
        <v>1516</v>
      </c>
      <c r="BQ9" s="2"/>
      <c r="BR9" s="3"/>
      <c r="BS9" s="3"/>
      <c r="BT9" s="3"/>
      <c r="BU9" s="3"/>
    </row>
    <row r="10" spans="1:73" ht="15">
      <c r="A10" s="66" t="s">
        <v>770</v>
      </c>
      <c r="B10" s="67"/>
      <c r="C10" s="67"/>
      <c r="D10" s="68">
        <v>200</v>
      </c>
      <c r="E10" s="124"/>
      <c r="F10" s="98" t="str">
        <f>HYPERLINK("https://yt3.ggpht.com/a/AATXAJznm0-KGHdC7exb-oRTLGxxSIccHZ1DNW984H_h0oU=s88-c-k-c0xffffffff-no-rj-mo")</f>
        <v>https://yt3.ggpht.com/a/AATXAJznm0-KGHdC7exb-oRTLGxxSIccHZ1DNW984H_h0oU=s88-c-k-c0xffffffff-no-rj-mo</v>
      </c>
      <c r="G10" s="125"/>
      <c r="H10" s="71" t="s">
        <v>1077</v>
      </c>
      <c r="I10" s="72"/>
      <c r="J10" s="126" t="s">
        <v>159</v>
      </c>
      <c r="K10" s="71" t="s">
        <v>1077</v>
      </c>
      <c r="L10" s="127">
        <v>1</v>
      </c>
      <c r="M10" s="76">
        <v>4475.62548828125</v>
      </c>
      <c r="N10" s="76">
        <v>2625.353515625</v>
      </c>
      <c r="O10" s="77"/>
      <c r="P10" s="78"/>
      <c r="Q10" s="78"/>
      <c r="R10" s="128"/>
      <c r="S10" s="48">
        <v>0</v>
      </c>
      <c r="T10" s="48">
        <v>1</v>
      </c>
      <c r="U10" s="49">
        <v>0</v>
      </c>
      <c r="V10" s="49">
        <v>0.002688</v>
      </c>
      <c r="W10" s="49">
        <v>0.003061</v>
      </c>
      <c r="X10" s="49">
        <v>0.464244</v>
      </c>
      <c r="Y10" s="49">
        <v>0</v>
      </c>
      <c r="Z10" s="49">
        <v>0</v>
      </c>
      <c r="AA10" s="73">
        <v>10</v>
      </c>
      <c r="AB10" s="73"/>
      <c r="AC10" s="74"/>
      <c r="AD10" s="90" t="s">
        <v>1077</v>
      </c>
      <c r="AE10" s="90" t="s">
        <v>1231</v>
      </c>
      <c r="AF10" s="90"/>
      <c r="AG10" s="90"/>
      <c r="AH10" s="90"/>
      <c r="AI10" s="90"/>
      <c r="AJ10" s="96">
        <v>40611.89724537037</v>
      </c>
      <c r="AK10" s="93" t="str">
        <f>HYPERLINK("https://yt3.ggpht.com/a/AATXAJznm0-KGHdC7exb-oRTLGxxSIccHZ1DNW984H_h0oU=s88-c-k-c0xffffffff-no-rj-mo")</f>
        <v>https://yt3.ggpht.com/a/AATXAJznm0-KGHdC7exb-oRTLGxxSIccHZ1DNW984H_h0oU=s88-c-k-c0xffffffff-no-rj-mo</v>
      </c>
      <c r="AL10" s="90">
        <v>24</v>
      </c>
      <c r="AM10" s="90">
        <v>0</v>
      </c>
      <c r="AN10" s="90">
        <v>5</v>
      </c>
      <c r="AO10" s="90" t="b">
        <v>0</v>
      </c>
      <c r="AP10" s="90">
        <v>1</v>
      </c>
      <c r="AQ10" s="90"/>
      <c r="AR10" s="90"/>
      <c r="AS10" s="90" t="s">
        <v>341</v>
      </c>
      <c r="AT10" s="93" t="str">
        <f>HYPERLINK("https://www.youtube.com/channel/UCWYnNPZJ4gVCDKZGvBaoSjQ")</f>
        <v>https://www.youtube.com/channel/UCWYnNPZJ4gVCDKZGvBaoSjQ</v>
      </c>
      <c r="AU10" s="89" t="str">
        <f>REPLACE(INDEX(GroupVertices[Group],MATCH(Vertices[[#This Row],[Vertex]],GroupVertices[Vertex],0)),1,1,"")</f>
        <v>7</v>
      </c>
      <c r="AV10" s="48">
        <v>0</v>
      </c>
      <c r="AW10" s="49">
        <v>0</v>
      </c>
      <c r="AX10" s="48">
        <v>3</v>
      </c>
      <c r="AY10" s="49">
        <v>5.882352941176471</v>
      </c>
      <c r="AZ10" s="48">
        <v>0</v>
      </c>
      <c r="BA10" s="49">
        <v>0</v>
      </c>
      <c r="BB10" s="48">
        <v>48</v>
      </c>
      <c r="BC10" s="49">
        <v>94.11764705882354</v>
      </c>
      <c r="BD10" s="48">
        <v>51</v>
      </c>
      <c r="BE10" s="48"/>
      <c r="BF10" s="48"/>
      <c r="BG10" s="48"/>
      <c r="BH10" s="48"/>
      <c r="BI10" s="48"/>
      <c r="BJ10" s="48"/>
      <c r="BK10" s="48" t="s">
        <v>686</v>
      </c>
      <c r="BL10" s="48" t="s">
        <v>686</v>
      </c>
      <c r="BM10" s="119" t="s">
        <v>1398</v>
      </c>
      <c r="BN10" s="119" t="s">
        <v>1398</v>
      </c>
      <c r="BO10" s="119" t="s">
        <v>1517</v>
      </c>
      <c r="BP10" s="119" t="s">
        <v>1517</v>
      </c>
      <c r="BQ10" s="2"/>
      <c r="BR10" s="3"/>
      <c r="BS10" s="3"/>
      <c r="BT10" s="3"/>
      <c r="BU10" s="3"/>
    </row>
    <row r="11" spans="1:73" ht="15">
      <c r="A11" s="66" t="s">
        <v>771</v>
      </c>
      <c r="B11" s="67"/>
      <c r="C11" s="67"/>
      <c r="D11" s="68">
        <v>200</v>
      </c>
      <c r="E11" s="124"/>
      <c r="F11" s="98" t="str">
        <f>HYPERLINK("https://yt3.ggpht.com/a/AATXAJyYJDHWhzvnh298Zn0u3dN0qgIKdSV22YwesQ=s88-c-k-c0xffffffff-no-rj-mo")</f>
        <v>https://yt3.ggpht.com/a/AATXAJyYJDHWhzvnh298Zn0u3dN0qgIKdSV22YwesQ=s88-c-k-c0xffffffff-no-rj-mo</v>
      </c>
      <c r="G11" s="125"/>
      <c r="H11" s="71" t="s">
        <v>1078</v>
      </c>
      <c r="I11" s="72"/>
      <c r="J11" s="126" t="s">
        <v>159</v>
      </c>
      <c r="K11" s="71" t="s">
        <v>1078</v>
      </c>
      <c r="L11" s="127">
        <v>1</v>
      </c>
      <c r="M11" s="76">
        <v>6708.4755859375</v>
      </c>
      <c r="N11" s="76">
        <v>862.6782836914062</v>
      </c>
      <c r="O11" s="77"/>
      <c r="P11" s="78"/>
      <c r="Q11" s="78"/>
      <c r="R11" s="128"/>
      <c r="S11" s="48">
        <v>0</v>
      </c>
      <c r="T11" s="48">
        <v>1</v>
      </c>
      <c r="U11" s="49">
        <v>0</v>
      </c>
      <c r="V11" s="49">
        <v>0.002688</v>
      </c>
      <c r="W11" s="49">
        <v>0.003061</v>
      </c>
      <c r="X11" s="49">
        <v>0.464244</v>
      </c>
      <c r="Y11" s="49">
        <v>0</v>
      </c>
      <c r="Z11" s="49">
        <v>0</v>
      </c>
      <c r="AA11" s="73">
        <v>11</v>
      </c>
      <c r="AB11" s="73"/>
      <c r="AC11" s="74"/>
      <c r="AD11" s="90" t="s">
        <v>1078</v>
      </c>
      <c r="AE11" s="90"/>
      <c r="AF11" s="90"/>
      <c r="AG11" s="90"/>
      <c r="AH11" s="90"/>
      <c r="AI11" s="90"/>
      <c r="AJ11" s="96">
        <v>41120.505474537036</v>
      </c>
      <c r="AK11" s="93" t="str">
        <f>HYPERLINK("https://yt3.ggpht.com/a/AATXAJyYJDHWhzvnh298Zn0u3dN0qgIKdSV22YwesQ=s88-c-k-c0xffffffff-no-rj-mo")</f>
        <v>https://yt3.ggpht.com/a/AATXAJyYJDHWhzvnh298Zn0u3dN0qgIKdSV22YwesQ=s88-c-k-c0xffffffff-no-rj-mo</v>
      </c>
      <c r="AL11" s="90">
        <v>0</v>
      </c>
      <c r="AM11" s="90">
        <v>0</v>
      </c>
      <c r="AN11" s="90">
        <v>2</v>
      </c>
      <c r="AO11" s="90" t="b">
        <v>0</v>
      </c>
      <c r="AP11" s="90">
        <v>0</v>
      </c>
      <c r="AQ11" s="90"/>
      <c r="AR11" s="90"/>
      <c r="AS11" s="90" t="s">
        <v>341</v>
      </c>
      <c r="AT11" s="93" t="str">
        <f>HYPERLINK("https://www.youtube.com/channel/UCReaHOQu71QT6o-4fphdPKw")</f>
        <v>https://www.youtube.com/channel/UCReaHOQu71QT6o-4fphdPKw</v>
      </c>
      <c r="AU11" s="89" t="str">
        <f>REPLACE(INDEX(GroupVertices[Group],MATCH(Vertices[[#This Row],[Vertex]],GroupVertices[Vertex],0)),1,1,"")</f>
        <v>7</v>
      </c>
      <c r="AV11" s="48">
        <v>2</v>
      </c>
      <c r="AW11" s="49">
        <v>9.090909090909092</v>
      </c>
      <c r="AX11" s="48">
        <v>0</v>
      </c>
      <c r="AY11" s="49">
        <v>0</v>
      </c>
      <c r="AZ11" s="48">
        <v>0</v>
      </c>
      <c r="BA11" s="49">
        <v>0</v>
      </c>
      <c r="BB11" s="48">
        <v>20</v>
      </c>
      <c r="BC11" s="49">
        <v>90.9090909090909</v>
      </c>
      <c r="BD11" s="48">
        <v>22</v>
      </c>
      <c r="BE11" s="48"/>
      <c r="BF11" s="48"/>
      <c r="BG11" s="48"/>
      <c r="BH11" s="48"/>
      <c r="BI11" s="48"/>
      <c r="BJ11" s="48"/>
      <c r="BK11" s="48" t="s">
        <v>686</v>
      </c>
      <c r="BL11" s="48" t="s">
        <v>686</v>
      </c>
      <c r="BM11" s="119" t="s">
        <v>1399</v>
      </c>
      <c r="BN11" s="119" t="s">
        <v>1399</v>
      </c>
      <c r="BO11" s="119" t="s">
        <v>1518</v>
      </c>
      <c r="BP11" s="119" t="s">
        <v>1518</v>
      </c>
      <c r="BQ11" s="2"/>
      <c r="BR11" s="3"/>
      <c r="BS11" s="3"/>
      <c r="BT11" s="3"/>
      <c r="BU11" s="3"/>
    </row>
    <row r="12" spans="1:73" ht="15">
      <c r="A12" s="66" t="s">
        <v>772</v>
      </c>
      <c r="B12" s="67"/>
      <c r="C12" s="67"/>
      <c r="D12" s="68">
        <v>200</v>
      </c>
      <c r="E12" s="124"/>
      <c r="F12" s="98" t="str">
        <f>HYPERLINK("https://yt3.ggpht.com/a/AATXAJyLlY3M74Cng9_kkfBUM4Pxz6WFBuASg9rFWcVJDw=s88-c-k-c0xffffffff-no-rj-mo")</f>
        <v>https://yt3.ggpht.com/a/AATXAJyLlY3M74Cng9_kkfBUM4Pxz6WFBuASg9rFWcVJDw=s88-c-k-c0xffffffff-no-rj-mo</v>
      </c>
      <c r="G12" s="125"/>
      <c r="H12" s="71" t="s">
        <v>1079</v>
      </c>
      <c r="I12" s="72"/>
      <c r="J12" s="126" t="s">
        <v>159</v>
      </c>
      <c r="K12" s="71" t="s">
        <v>1079</v>
      </c>
      <c r="L12" s="127">
        <v>1</v>
      </c>
      <c r="M12" s="76">
        <v>4022.9521484375</v>
      </c>
      <c r="N12" s="76">
        <v>1735.576171875</v>
      </c>
      <c r="O12" s="77"/>
      <c r="P12" s="78"/>
      <c r="Q12" s="78"/>
      <c r="R12" s="128"/>
      <c r="S12" s="48">
        <v>0</v>
      </c>
      <c r="T12" s="48">
        <v>1</v>
      </c>
      <c r="U12" s="49">
        <v>0</v>
      </c>
      <c r="V12" s="49">
        <v>0.002688</v>
      </c>
      <c r="W12" s="49">
        <v>0.003061</v>
      </c>
      <c r="X12" s="49">
        <v>0.464244</v>
      </c>
      <c r="Y12" s="49">
        <v>0</v>
      </c>
      <c r="Z12" s="49">
        <v>0</v>
      </c>
      <c r="AA12" s="73">
        <v>12</v>
      </c>
      <c r="AB12" s="73"/>
      <c r="AC12" s="74"/>
      <c r="AD12" s="90" t="s">
        <v>1079</v>
      </c>
      <c r="AE12" s="90"/>
      <c r="AF12" s="90"/>
      <c r="AG12" s="90"/>
      <c r="AH12" s="90"/>
      <c r="AI12" s="90"/>
      <c r="AJ12" s="96">
        <v>42680.26373842593</v>
      </c>
      <c r="AK12" s="93" t="str">
        <f>HYPERLINK("https://yt3.ggpht.com/a/AATXAJyLlY3M74Cng9_kkfBUM4Pxz6WFBuASg9rFWcVJDw=s88-c-k-c0xffffffff-no-rj-mo")</f>
        <v>https://yt3.ggpht.com/a/AATXAJyLlY3M74Cng9_kkfBUM4Pxz6WFBuASg9rFWcVJDw=s88-c-k-c0xffffffff-no-rj-mo</v>
      </c>
      <c r="AL12" s="90">
        <v>0</v>
      </c>
      <c r="AM12" s="90">
        <v>0</v>
      </c>
      <c r="AN12" s="90">
        <v>0</v>
      </c>
      <c r="AO12" s="90" t="b">
        <v>0</v>
      </c>
      <c r="AP12" s="90">
        <v>0</v>
      </c>
      <c r="AQ12" s="90"/>
      <c r="AR12" s="90"/>
      <c r="AS12" s="90" t="s">
        <v>341</v>
      </c>
      <c r="AT12" s="93" t="str">
        <f>HYPERLINK("https://www.youtube.com/channel/UClhuyN7siN-XGSCfYg_KL8w")</f>
        <v>https://www.youtube.com/channel/UClhuyN7siN-XGSCfYg_KL8w</v>
      </c>
      <c r="AU12" s="89" t="str">
        <f>REPLACE(INDEX(GroupVertices[Group],MATCH(Vertices[[#This Row],[Vertex]],GroupVertices[Vertex],0)),1,1,"")</f>
        <v>7</v>
      </c>
      <c r="AV12" s="48">
        <v>0</v>
      </c>
      <c r="AW12" s="49">
        <v>0</v>
      </c>
      <c r="AX12" s="48">
        <v>0</v>
      </c>
      <c r="AY12" s="49">
        <v>0</v>
      </c>
      <c r="AZ12" s="48">
        <v>0</v>
      </c>
      <c r="BA12" s="49">
        <v>0</v>
      </c>
      <c r="BB12" s="48">
        <v>2</v>
      </c>
      <c r="BC12" s="49">
        <v>100</v>
      </c>
      <c r="BD12" s="48">
        <v>2</v>
      </c>
      <c r="BE12" s="48"/>
      <c r="BF12" s="48"/>
      <c r="BG12" s="48"/>
      <c r="BH12" s="48"/>
      <c r="BI12" s="48"/>
      <c r="BJ12" s="48"/>
      <c r="BK12" s="48" t="s">
        <v>686</v>
      </c>
      <c r="BL12" s="48" t="s">
        <v>686</v>
      </c>
      <c r="BM12" s="119" t="s">
        <v>1400</v>
      </c>
      <c r="BN12" s="119" t="s">
        <v>1400</v>
      </c>
      <c r="BO12" s="119" t="s">
        <v>1519</v>
      </c>
      <c r="BP12" s="119" t="s">
        <v>1519</v>
      </c>
      <c r="BQ12" s="2"/>
      <c r="BR12" s="3"/>
      <c r="BS12" s="3"/>
      <c r="BT12" s="3"/>
      <c r="BU12" s="3"/>
    </row>
    <row r="13" spans="1:73" ht="15">
      <c r="A13" s="66" t="s">
        <v>773</v>
      </c>
      <c r="B13" s="67"/>
      <c r="C13" s="67"/>
      <c r="D13" s="68">
        <v>200</v>
      </c>
      <c r="E13" s="124"/>
      <c r="F13" s="98" t="str">
        <f>HYPERLINK("https://yt3.ggpht.com/a/AATXAJxqTQm35Ze0g-obPguGDsToev-8dFGV0YcQzQ=s88-c-k-c0xffffffff-no-rj-mo")</f>
        <v>https://yt3.ggpht.com/a/AATXAJxqTQm35Ze0g-obPguGDsToev-8dFGV0YcQzQ=s88-c-k-c0xffffffff-no-rj-mo</v>
      </c>
      <c r="G13" s="125"/>
      <c r="H13" s="71" t="s">
        <v>1080</v>
      </c>
      <c r="I13" s="72"/>
      <c r="J13" s="126" t="s">
        <v>159</v>
      </c>
      <c r="K13" s="71" t="s">
        <v>1080</v>
      </c>
      <c r="L13" s="127">
        <v>1</v>
      </c>
      <c r="M13" s="76">
        <v>5380.7841796875</v>
      </c>
      <c r="N13" s="76">
        <v>3005.479736328125</v>
      </c>
      <c r="O13" s="77"/>
      <c r="P13" s="78"/>
      <c r="Q13" s="78"/>
      <c r="R13" s="128"/>
      <c r="S13" s="48">
        <v>0</v>
      </c>
      <c r="T13" s="48">
        <v>1</v>
      </c>
      <c r="U13" s="49">
        <v>0</v>
      </c>
      <c r="V13" s="49">
        <v>0.002688</v>
      </c>
      <c r="W13" s="49">
        <v>0.003061</v>
      </c>
      <c r="X13" s="49">
        <v>0.464244</v>
      </c>
      <c r="Y13" s="49">
        <v>0</v>
      </c>
      <c r="Z13" s="49">
        <v>0</v>
      </c>
      <c r="AA13" s="73">
        <v>13</v>
      </c>
      <c r="AB13" s="73"/>
      <c r="AC13" s="74"/>
      <c r="AD13" s="90" t="s">
        <v>1080</v>
      </c>
      <c r="AE13" s="90"/>
      <c r="AF13" s="90"/>
      <c r="AG13" s="90"/>
      <c r="AH13" s="90"/>
      <c r="AI13" s="90"/>
      <c r="AJ13" s="96">
        <v>42861.80886574074</v>
      </c>
      <c r="AK13" s="93" t="str">
        <f>HYPERLINK("https://yt3.ggpht.com/a/AATXAJxqTQm35Ze0g-obPguGDsToev-8dFGV0YcQzQ=s88-c-k-c0xffffffff-no-rj-mo")</f>
        <v>https://yt3.ggpht.com/a/AATXAJxqTQm35Ze0g-obPguGDsToev-8dFGV0YcQzQ=s88-c-k-c0xffffffff-no-rj-mo</v>
      </c>
      <c r="AL13" s="90">
        <v>129</v>
      </c>
      <c r="AM13" s="90">
        <v>0</v>
      </c>
      <c r="AN13" s="90">
        <v>3</v>
      </c>
      <c r="AO13" s="90" t="b">
        <v>0</v>
      </c>
      <c r="AP13" s="90">
        <v>2</v>
      </c>
      <c r="AQ13" s="90"/>
      <c r="AR13" s="90"/>
      <c r="AS13" s="90" t="s">
        <v>341</v>
      </c>
      <c r="AT13" s="93" t="str">
        <f>HYPERLINK("https://www.youtube.com/channel/UCXIdsaCiwO4wx2sa4Ea1r3w")</f>
        <v>https://www.youtube.com/channel/UCXIdsaCiwO4wx2sa4Ea1r3w</v>
      </c>
      <c r="AU13" s="89" t="str">
        <f>REPLACE(INDEX(GroupVertices[Group],MATCH(Vertices[[#This Row],[Vertex]],GroupVertices[Vertex],0)),1,1,"")</f>
        <v>7</v>
      </c>
      <c r="AV13" s="48">
        <v>0</v>
      </c>
      <c r="AW13" s="49">
        <v>0</v>
      </c>
      <c r="AX13" s="48">
        <v>4</v>
      </c>
      <c r="AY13" s="49">
        <v>17.391304347826086</v>
      </c>
      <c r="AZ13" s="48">
        <v>0</v>
      </c>
      <c r="BA13" s="49">
        <v>0</v>
      </c>
      <c r="BB13" s="48">
        <v>19</v>
      </c>
      <c r="BC13" s="49">
        <v>82.6086956521739</v>
      </c>
      <c r="BD13" s="48">
        <v>23</v>
      </c>
      <c r="BE13" s="48"/>
      <c r="BF13" s="48"/>
      <c r="BG13" s="48"/>
      <c r="BH13" s="48"/>
      <c r="BI13" s="48"/>
      <c r="BJ13" s="48"/>
      <c r="BK13" s="48" t="s">
        <v>686</v>
      </c>
      <c r="BL13" s="48" t="s">
        <v>686</v>
      </c>
      <c r="BM13" s="119" t="s">
        <v>1401</v>
      </c>
      <c r="BN13" s="119" t="s">
        <v>1401</v>
      </c>
      <c r="BO13" s="119" t="s">
        <v>1520</v>
      </c>
      <c r="BP13" s="119" t="s">
        <v>1520</v>
      </c>
      <c r="BQ13" s="2"/>
      <c r="BR13" s="3"/>
      <c r="BS13" s="3"/>
      <c r="BT13" s="3"/>
      <c r="BU13" s="3"/>
    </row>
    <row r="14" spans="1:73" ht="15">
      <c r="A14" s="66" t="s">
        <v>774</v>
      </c>
      <c r="B14" s="67"/>
      <c r="C14" s="67"/>
      <c r="D14" s="68">
        <v>200</v>
      </c>
      <c r="E14" s="124"/>
      <c r="F14" s="98" t="str">
        <f>HYPERLINK("https://yt3.ggpht.com/a/AATXAJwx2AP5rwmhRYJRKI33ikrEAAba4no9ZBCEModIlQ=s88-c-k-c0xffffffff-no-rj-mo")</f>
        <v>https://yt3.ggpht.com/a/AATXAJwx2AP5rwmhRYJRKI33ikrEAAba4no9ZBCEModIlQ=s88-c-k-c0xffffffff-no-rj-mo</v>
      </c>
      <c r="G14" s="125"/>
      <c r="H14" s="71" t="s">
        <v>1081</v>
      </c>
      <c r="I14" s="72"/>
      <c r="J14" s="126" t="s">
        <v>159</v>
      </c>
      <c r="K14" s="71" t="s">
        <v>1081</v>
      </c>
      <c r="L14" s="127">
        <v>1</v>
      </c>
      <c r="M14" s="76">
        <v>5008.4912109375</v>
      </c>
      <c r="N14" s="76">
        <v>244.19558715820312</v>
      </c>
      <c r="O14" s="77"/>
      <c r="P14" s="78"/>
      <c r="Q14" s="78"/>
      <c r="R14" s="128"/>
      <c r="S14" s="48">
        <v>0</v>
      </c>
      <c r="T14" s="48">
        <v>1</v>
      </c>
      <c r="U14" s="49">
        <v>0</v>
      </c>
      <c r="V14" s="49">
        <v>0.002688</v>
      </c>
      <c r="W14" s="49">
        <v>0.003061</v>
      </c>
      <c r="X14" s="49">
        <v>0.464244</v>
      </c>
      <c r="Y14" s="49">
        <v>0</v>
      </c>
      <c r="Z14" s="49">
        <v>0</v>
      </c>
      <c r="AA14" s="73">
        <v>14</v>
      </c>
      <c r="AB14" s="73"/>
      <c r="AC14" s="74"/>
      <c r="AD14" s="90" t="s">
        <v>1081</v>
      </c>
      <c r="AE14" s="90" t="s">
        <v>1232</v>
      </c>
      <c r="AF14" s="90"/>
      <c r="AG14" s="90"/>
      <c r="AH14" s="90"/>
      <c r="AI14" s="90"/>
      <c r="AJ14" s="96">
        <v>41826.8337962963</v>
      </c>
      <c r="AK14" s="93" t="str">
        <f>HYPERLINK("https://yt3.ggpht.com/a/AATXAJwx2AP5rwmhRYJRKI33ikrEAAba4no9ZBCEModIlQ=s88-c-k-c0xffffffff-no-rj-mo")</f>
        <v>https://yt3.ggpht.com/a/AATXAJwx2AP5rwmhRYJRKI33ikrEAAba4no9ZBCEModIlQ=s88-c-k-c0xffffffff-no-rj-mo</v>
      </c>
      <c r="AL14" s="90">
        <v>56587</v>
      </c>
      <c r="AM14" s="90">
        <v>0</v>
      </c>
      <c r="AN14" s="90">
        <v>460</v>
      </c>
      <c r="AO14" s="90" t="b">
        <v>0</v>
      </c>
      <c r="AP14" s="90">
        <v>279</v>
      </c>
      <c r="AQ14" s="90"/>
      <c r="AR14" s="90"/>
      <c r="AS14" s="90" t="s">
        <v>341</v>
      </c>
      <c r="AT14" s="93" t="str">
        <f>HYPERLINK("https://www.youtube.com/channel/UCm5lH-uUs6RBSPWDdLHBeHQ")</f>
        <v>https://www.youtube.com/channel/UCm5lH-uUs6RBSPWDdLHBeHQ</v>
      </c>
      <c r="AU14" s="89" t="str">
        <f>REPLACE(INDEX(GroupVertices[Group],MATCH(Vertices[[#This Row],[Vertex]],GroupVertices[Vertex],0)),1,1,"")</f>
        <v>7</v>
      </c>
      <c r="AV14" s="48">
        <v>0</v>
      </c>
      <c r="AW14" s="49">
        <v>0</v>
      </c>
      <c r="AX14" s="48">
        <v>1</v>
      </c>
      <c r="AY14" s="49">
        <v>20</v>
      </c>
      <c r="AZ14" s="48">
        <v>0</v>
      </c>
      <c r="BA14" s="49">
        <v>0</v>
      </c>
      <c r="BB14" s="48">
        <v>4</v>
      </c>
      <c r="BC14" s="49">
        <v>80</v>
      </c>
      <c r="BD14" s="48">
        <v>5</v>
      </c>
      <c r="BE14" s="48"/>
      <c r="BF14" s="48"/>
      <c r="BG14" s="48"/>
      <c r="BH14" s="48"/>
      <c r="BI14" s="48"/>
      <c r="BJ14" s="48"/>
      <c r="BK14" s="48" t="s">
        <v>686</v>
      </c>
      <c r="BL14" s="48" t="s">
        <v>686</v>
      </c>
      <c r="BM14" s="119" t="s">
        <v>1402</v>
      </c>
      <c r="BN14" s="119" t="s">
        <v>1402</v>
      </c>
      <c r="BO14" s="119" t="s">
        <v>1521</v>
      </c>
      <c r="BP14" s="119" t="s">
        <v>1521</v>
      </c>
      <c r="BQ14" s="2"/>
      <c r="BR14" s="3"/>
      <c r="BS14" s="3"/>
      <c r="BT14" s="3"/>
      <c r="BU14" s="3"/>
    </row>
    <row r="15" spans="1:73" ht="15">
      <c r="A15" s="66" t="s">
        <v>775</v>
      </c>
      <c r="B15" s="67"/>
      <c r="C15" s="67"/>
      <c r="D15" s="68">
        <v>200</v>
      </c>
      <c r="E15" s="124"/>
      <c r="F15" s="98" t="str">
        <f>HYPERLINK("https://yt3.ggpht.com/a/AATXAJxwEfeIRzWSP2deNWaRP3Rmq721cf3R3k3Syw=s88-c-k-c0xffffffff-no-rj-mo")</f>
        <v>https://yt3.ggpht.com/a/AATXAJxwEfeIRzWSP2deNWaRP3Rmq721cf3R3k3Syw=s88-c-k-c0xffffffff-no-rj-mo</v>
      </c>
      <c r="G15" s="125"/>
      <c r="H15" s="71" t="s">
        <v>1082</v>
      </c>
      <c r="I15" s="72"/>
      <c r="J15" s="126" t="s">
        <v>159</v>
      </c>
      <c r="K15" s="71" t="s">
        <v>1082</v>
      </c>
      <c r="L15" s="127">
        <v>1</v>
      </c>
      <c r="M15" s="76">
        <v>4232.06103515625</v>
      </c>
      <c r="N15" s="76">
        <v>754.8641357421875</v>
      </c>
      <c r="O15" s="77"/>
      <c r="P15" s="78"/>
      <c r="Q15" s="78"/>
      <c r="R15" s="128"/>
      <c r="S15" s="48">
        <v>0</v>
      </c>
      <c r="T15" s="48">
        <v>1</v>
      </c>
      <c r="U15" s="49">
        <v>0</v>
      </c>
      <c r="V15" s="49">
        <v>0.002688</v>
      </c>
      <c r="W15" s="49">
        <v>0.003061</v>
      </c>
      <c r="X15" s="49">
        <v>0.464244</v>
      </c>
      <c r="Y15" s="49">
        <v>0</v>
      </c>
      <c r="Z15" s="49">
        <v>0</v>
      </c>
      <c r="AA15" s="73">
        <v>15</v>
      </c>
      <c r="AB15" s="73"/>
      <c r="AC15" s="74"/>
      <c r="AD15" s="90" t="s">
        <v>1082</v>
      </c>
      <c r="AE15" s="90"/>
      <c r="AF15" s="90"/>
      <c r="AG15" s="90"/>
      <c r="AH15" s="90"/>
      <c r="AI15" s="90"/>
      <c r="AJ15" s="96">
        <v>40855.84369212963</v>
      </c>
      <c r="AK15" s="93" t="str">
        <f>HYPERLINK("https://yt3.ggpht.com/a/AATXAJxwEfeIRzWSP2deNWaRP3Rmq721cf3R3k3Syw=s88-c-k-c0xffffffff-no-rj-mo")</f>
        <v>https://yt3.ggpht.com/a/AATXAJxwEfeIRzWSP2deNWaRP3Rmq721cf3R3k3Syw=s88-c-k-c0xffffffff-no-rj-mo</v>
      </c>
      <c r="AL15" s="90">
        <v>0</v>
      </c>
      <c r="AM15" s="90">
        <v>0</v>
      </c>
      <c r="AN15" s="90">
        <v>1</v>
      </c>
      <c r="AO15" s="90" t="b">
        <v>0</v>
      </c>
      <c r="AP15" s="90">
        <v>0</v>
      </c>
      <c r="AQ15" s="90"/>
      <c r="AR15" s="90"/>
      <c r="AS15" s="90" t="s">
        <v>341</v>
      </c>
      <c r="AT15" s="93" t="str">
        <f>HYPERLINK("https://www.youtube.com/channel/UC513I_mp7Vn5vmB9xoFAXWA")</f>
        <v>https://www.youtube.com/channel/UC513I_mp7Vn5vmB9xoFAXWA</v>
      </c>
      <c r="AU15" s="89" t="str">
        <f>REPLACE(INDEX(GroupVertices[Group],MATCH(Vertices[[#This Row],[Vertex]],GroupVertices[Vertex],0)),1,1,"")</f>
        <v>7</v>
      </c>
      <c r="AV15" s="48">
        <v>6</v>
      </c>
      <c r="AW15" s="49">
        <v>7.894736842105263</v>
      </c>
      <c r="AX15" s="48">
        <v>4</v>
      </c>
      <c r="AY15" s="49">
        <v>5.2631578947368425</v>
      </c>
      <c r="AZ15" s="48">
        <v>0</v>
      </c>
      <c r="BA15" s="49">
        <v>0</v>
      </c>
      <c r="BB15" s="48">
        <v>66</v>
      </c>
      <c r="BC15" s="49">
        <v>86.84210526315789</v>
      </c>
      <c r="BD15" s="48">
        <v>76</v>
      </c>
      <c r="BE15" s="48"/>
      <c r="BF15" s="48"/>
      <c r="BG15" s="48"/>
      <c r="BH15" s="48"/>
      <c r="BI15" s="48"/>
      <c r="BJ15" s="48"/>
      <c r="BK15" s="48" t="s">
        <v>686</v>
      </c>
      <c r="BL15" s="48" t="s">
        <v>686</v>
      </c>
      <c r="BM15" s="119" t="s">
        <v>1403</v>
      </c>
      <c r="BN15" s="119" t="s">
        <v>1403</v>
      </c>
      <c r="BO15" s="119" t="s">
        <v>1522</v>
      </c>
      <c r="BP15" s="119" t="s">
        <v>1522</v>
      </c>
      <c r="BQ15" s="2"/>
      <c r="BR15" s="3"/>
      <c r="BS15" s="3"/>
      <c r="BT15" s="3"/>
      <c r="BU15" s="3"/>
    </row>
    <row r="16" spans="1:73" ht="15">
      <c r="A16" s="66" t="s">
        <v>776</v>
      </c>
      <c r="B16" s="67"/>
      <c r="C16" s="67"/>
      <c r="D16" s="68">
        <v>200</v>
      </c>
      <c r="E16" s="124"/>
      <c r="F16" s="98" t="str">
        <f>HYPERLINK("https://yt3.ggpht.com/a/AATXAJx0WaCaXNDx2SXG7gkUqFX26glzm2yew9hlpD6TpQ=s88-c-k-c0xffffffff-no-rj-mo")</f>
        <v>https://yt3.ggpht.com/a/AATXAJx0WaCaXNDx2SXG7gkUqFX26glzm2yew9hlpD6TpQ=s88-c-k-c0xffffffff-no-rj-mo</v>
      </c>
      <c r="G16" s="125"/>
      <c r="H16" s="71" t="s">
        <v>1083</v>
      </c>
      <c r="I16" s="72"/>
      <c r="J16" s="126" t="s">
        <v>159</v>
      </c>
      <c r="K16" s="71" t="s">
        <v>1083</v>
      </c>
      <c r="L16" s="127">
        <v>1</v>
      </c>
      <c r="M16" s="76">
        <v>6313.3076171875</v>
      </c>
      <c r="N16" s="76">
        <v>2704.638427734375</v>
      </c>
      <c r="O16" s="77"/>
      <c r="P16" s="78"/>
      <c r="Q16" s="78"/>
      <c r="R16" s="128"/>
      <c r="S16" s="48">
        <v>0</v>
      </c>
      <c r="T16" s="48">
        <v>1</v>
      </c>
      <c r="U16" s="49">
        <v>0</v>
      </c>
      <c r="V16" s="49">
        <v>0.002688</v>
      </c>
      <c r="W16" s="49">
        <v>0.003061</v>
      </c>
      <c r="X16" s="49">
        <v>0.464244</v>
      </c>
      <c r="Y16" s="49">
        <v>0</v>
      </c>
      <c r="Z16" s="49">
        <v>0</v>
      </c>
      <c r="AA16" s="73">
        <v>16</v>
      </c>
      <c r="AB16" s="73"/>
      <c r="AC16" s="74"/>
      <c r="AD16" s="90" t="s">
        <v>1083</v>
      </c>
      <c r="AE16" s="90"/>
      <c r="AF16" s="90"/>
      <c r="AG16" s="90"/>
      <c r="AH16" s="90"/>
      <c r="AI16" s="90"/>
      <c r="AJ16" s="96">
        <v>41894.31113425926</v>
      </c>
      <c r="AK16" s="93" t="str">
        <f>HYPERLINK("https://yt3.ggpht.com/a/AATXAJx0WaCaXNDx2SXG7gkUqFX26glzm2yew9hlpD6TpQ=s88-c-k-c0xffffffff-no-rj-mo")</f>
        <v>https://yt3.ggpht.com/a/AATXAJx0WaCaXNDx2SXG7gkUqFX26glzm2yew9hlpD6TpQ=s88-c-k-c0xffffffff-no-rj-mo</v>
      </c>
      <c r="AL16" s="90">
        <v>136</v>
      </c>
      <c r="AM16" s="90">
        <v>0</v>
      </c>
      <c r="AN16" s="90">
        <v>12</v>
      </c>
      <c r="AO16" s="90" t="b">
        <v>0</v>
      </c>
      <c r="AP16" s="90">
        <v>8</v>
      </c>
      <c r="AQ16" s="90"/>
      <c r="AR16" s="90"/>
      <c r="AS16" s="90" t="s">
        <v>341</v>
      </c>
      <c r="AT16" s="93" t="str">
        <f>HYPERLINK("https://www.youtube.com/channel/UCZRsbwr8wtLjxR2tQRMZA9A")</f>
        <v>https://www.youtube.com/channel/UCZRsbwr8wtLjxR2tQRMZA9A</v>
      </c>
      <c r="AU16" s="89" t="str">
        <f>REPLACE(INDEX(GroupVertices[Group],MATCH(Vertices[[#This Row],[Vertex]],GroupVertices[Vertex],0)),1,1,"")</f>
        <v>7</v>
      </c>
      <c r="AV16" s="48">
        <v>0</v>
      </c>
      <c r="AW16" s="49">
        <v>0</v>
      </c>
      <c r="AX16" s="48">
        <v>2</v>
      </c>
      <c r="AY16" s="49">
        <v>28.571428571428573</v>
      </c>
      <c r="AZ16" s="48">
        <v>0</v>
      </c>
      <c r="BA16" s="49">
        <v>0</v>
      </c>
      <c r="BB16" s="48">
        <v>5</v>
      </c>
      <c r="BC16" s="49">
        <v>71.42857142857143</v>
      </c>
      <c r="BD16" s="48">
        <v>7</v>
      </c>
      <c r="BE16" s="48"/>
      <c r="BF16" s="48"/>
      <c r="BG16" s="48"/>
      <c r="BH16" s="48"/>
      <c r="BI16" s="48"/>
      <c r="BJ16" s="48"/>
      <c r="BK16" s="48" t="s">
        <v>686</v>
      </c>
      <c r="BL16" s="48" t="s">
        <v>686</v>
      </c>
      <c r="BM16" s="119" t="s">
        <v>1404</v>
      </c>
      <c r="BN16" s="119" t="s">
        <v>1404</v>
      </c>
      <c r="BO16" s="119" t="s">
        <v>1523</v>
      </c>
      <c r="BP16" s="119" t="s">
        <v>1523</v>
      </c>
      <c r="BQ16" s="2"/>
      <c r="BR16" s="3"/>
      <c r="BS16" s="3"/>
      <c r="BT16" s="3"/>
      <c r="BU16" s="3"/>
    </row>
    <row r="17" spans="1:73" ht="15">
      <c r="A17" s="66" t="s">
        <v>777</v>
      </c>
      <c r="B17" s="67"/>
      <c r="C17" s="67"/>
      <c r="D17" s="68">
        <v>200</v>
      </c>
      <c r="E17" s="124"/>
      <c r="F17" s="98" t="str">
        <f>HYPERLINK("https://yt3.ggpht.com/a/AATXAJxJ0QSw0rU-slNsMN1oVegpMRstQl7nv_C14Q=s88-c-k-c0xffffffff-no-rj-mo")</f>
        <v>https://yt3.ggpht.com/a/AATXAJxJ0QSw0rU-slNsMN1oVegpMRstQl7nv_C14Q=s88-c-k-c0xffffffff-no-rj-mo</v>
      </c>
      <c r="G17" s="125"/>
      <c r="H17" s="71" t="s">
        <v>1084</v>
      </c>
      <c r="I17" s="72"/>
      <c r="J17" s="126" t="s">
        <v>159</v>
      </c>
      <c r="K17" s="71" t="s">
        <v>1084</v>
      </c>
      <c r="L17" s="127">
        <v>1</v>
      </c>
      <c r="M17" s="76">
        <v>5274.99560546875</v>
      </c>
      <c r="N17" s="76">
        <v>9754.8037109375</v>
      </c>
      <c r="O17" s="77"/>
      <c r="P17" s="78"/>
      <c r="Q17" s="78"/>
      <c r="R17" s="128"/>
      <c r="S17" s="48">
        <v>0</v>
      </c>
      <c r="T17" s="48">
        <v>2</v>
      </c>
      <c r="U17" s="49">
        <v>26.666667</v>
      </c>
      <c r="V17" s="49">
        <v>0.002747</v>
      </c>
      <c r="W17" s="49">
        <v>0.005373</v>
      </c>
      <c r="X17" s="49">
        <v>0.766737</v>
      </c>
      <c r="Y17" s="49">
        <v>0</v>
      </c>
      <c r="Z17" s="49">
        <v>0</v>
      </c>
      <c r="AA17" s="73">
        <v>17</v>
      </c>
      <c r="AB17" s="73"/>
      <c r="AC17" s="74"/>
      <c r="AD17" s="90" t="s">
        <v>1084</v>
      </c>
      <c r="AE17" s="90"/>
      <c r="AF17" s="90"/>
      <c r="AG17" s="90"/>
      <c r="AH17" s="90"/>
      <c r="AI17" s="90"/>
      <c r="AJ17" s="96">
        <v>39976.92521990741</v>
      </c>
      <c r="AK17" s="93" t="str">
        <f>HYPERLINK("https://yt3.ggpht.com/a/AATXAJxJ0QSw0rU-slNsMN1oVegpMRstQl7nv_C14Q=s88-c-k-c0xffffffff-no-rj-mo")</f>
        <v>https://yt3.ggpht.com/a/AATXAJxJ0QSw0rU-slNsMN1oVegpMRstQl7nv_C14Q=s88-c-k-c0xffffffff-no-rj-mo</v>
      </c>
      <c r="AL17" s="90">
        <v>0</v>
      </c>
      <c r="AM17" s="90">
        <v>0</v>
      </c>
      <c r="AN17" s="90">
        <v>2</v>
      </c>
      <c r="AO17" s="90" t="b">
        <v>0</v>
      </c>
      <c r="AP17" s="90">
        <v>0</v>
      </c>
      <c r="AQ17" s="90"/>
      <c r="AR17" s="90"/>
      <c r="AS17" s="90" t="s">
        <v>341</v>
      </c>
      <c r="AT17" s="93" t="str">
        <f>HYPERLINK("https://www.youtube.com/channel/UC48GDyHlhY6qMDusEqwsJLQ")</f>
        <v>https://www.youtube.com/channel/UC48GDyHlhY6qMDusEqwsJLQ</v>
      </c>
      <c r="AU17" s="89" t="str">
        <f>REPLACE(INDEX(GroupVertices[Group],MATCH(Vertices[[#This Row],[Vertex]],GroupVertices[Vertex],0)),1,1,"")</f>
        <v>3</v>
      </c>
      <c r="AV17" s="48">
        <v>2</v>
      </c>
      <c r="AW17" s="49">
        <v>7.407407407407407</v>
      </c>
      <c r="AX17" s="48">
        <v>1</v>
      </c>
      <c r="AY17" s="49">
        <v>3.7037037037037037</v>
      </c>
      <c r="AZ17" s="48">
        <v>0</v>
      </c>
      <c r="BA17" s="49">
        <v>0</v>
      </c>
      <c r="BB17" s="48">
        <v>24</v>
      </c>
      <c r="BC17" s="49">
        <v>88.88888888888889</v>
      </c>
      <c r="BD17" s="48">
        <v>27</v>
      </c>
      <c r="BE17" s="48"/>
      <c r="BF17" s="48"/>
      <c r="BG17" s="48"/>
      <c r="BH17" s="48"/>
      <c r="BI17" s="48"/>
      <c r="BJ17" s="48"/>
      <c r="BK17" s="48" t="s">
        <v>1349</v>
      </c>
      <c r="BL17" s="48" t="s">
        <v>1348</v>
      </c>
      <c r="BM17" s="119" t="s">
        <v>1405</v>
      </c>
      <c r="BN17" s="119" t="s">
        <v>1405</v>
      </c>
      <c r="BO17" s="119" t="s">
        <v>1524</v>
      </c>
      <c r="BP17" s="119" t="s">
        <v>1524</v>
      </c>
      <c r="BQ17" s="2"/>
      <c r="BR17" s="3"/>
      <c r="BS17" s="3"/>
      <c r="BT17" s="3"/>
      <c r="BU17" s="3"/>
    </row>
    <row r="18" spans="1:73" ht="15">
      <c r="A18" s="66" t="s">
        <v>778</v>
      </c>
      <c r="B18" s="67"/>
      <c r="C18" s="67"/>
      <c r="D18" s="68">
        <v>200</v>
      </c>
      <c r="E18" s="124"/>
      <c r="F18" s="98" t="str">
        <f>HYPERLINK("https://yt3.ggpht.com/a/AATXAJwlRm5UDIhZnl1lsI0RpYMvQSJhGM2qrlSTQw=s88-c-k-c0xffffffff-no-rj-mo")</f>
        <v>https://yt3.ggpht.com/a/AATXAJwlRm5UDIhZnl1lsI0RpYMvQSJhGM2qrlSTQw=s88-c-k-c0xffffffff-no-rj-mo</v>
      </c>
      <c r="G18" s="125"/>
      <c r="H18" s="71" t="s">
        <v>1085</v>
      </c>
      <c r="I18" s="72"/>
      <c r="J18" s="126" t="s">
        <v>159</v>
      </c>
      <c r="K18" s="71" t="s">
        <v>1085</v>
      </c>
      <c r="L18" s="127">
        <v>1</v>
      </c>
      <c r="M18" s="76">
        <v>5965.92724609375</v>
      </c>
      <c r="N18" s="76">
        <v>8334.0732421875</v>
      </c>
      <c r="O18" s="77"/>
      <c r="P18" s="78"/>
      <c r="Q18" s="78"/>
      <c r="R18" s="128"/>
      <c r="S18" s="48">
        <v>0</v>
      </c>
      <c r="T18" s="48">
        <v>11</v>
      </c>
      <c r="U18" s="49">
        <v>791.665029</v>
      </c>
      <c r="V18" s="49">
        <v>0.003333</v>
      </c>
      <c r="W18" s="49">
        <v>0.027343</v>
      </c>
      <c r="X18" s="49">
        <v>3.306945</v>
      </c>
      <c r="Y18" s="49">
        <v>0</v>
      </c>
      <c r="Z18" s="49">
        <v>0</v>
      </c>
      <c r="AA18" s="73">
        <v>18</v>
      </c>
      <c r="AB18" s="73"/>
      <c r="AC18" s="74"/>
      <c r="AD18" s="90" t="s">
        <v>1085</v>
      </c>
      <c r="AE18" s="90"/>
      <c r="AF18" s="90"/>
      <c r="AG18" s="90"/>
      <c r="AH18" s="90"/>
      <c r="AI18" s="90"/>
      <c r="AJ18" s="96">
        <v>41457.61956018519</v>
      </c>
      <c r="AK18" s="93" t="str">
        <f>HYPERLINK("https://yt3.ggpht.com/a/AATXAJwlRm5UDIhZnl1lsI0RpYMvQSJhGM2qrlSTQw=s88-c-k-c0xffffffff-no-rj-mo")</f>
        <v>https://yt3.ggpht.com/a/AATXAJwlRm5UDIhZnl1lsI0RpYMvQSJhGM2qrlSTQw=s88-c-k-c0xffffffff-no-rj-mo</v>
      </c>
      <c r="AL18" s="90">
        <v>0</v>
      </c>
      <c r="AM18" s="90">
        <v>0</v>
      </c>
      <c r="AN18" s="90">
        <v>0</v>
      </c>
      <c r="AO18" s="90" t="b">
        <v>0</v>
      </c>
      <c r="AP18" s="90">
        <v>0</v>
      </c>
      <c r="AQ18" s="90"/>
      <c r="AR18" s="90"/>
      <c r="AS18" s="90" t="s">
        <v>341</v>
      </c>
      <c r="AT18" s="93" t="str">
        <f>HYPERLINK("https://www.youtube.com/channel/UCvFvo310EFTNVcGfu0vvTPg")</f>
        <v>https://www.youtube.com/channel/UCvFvo310EFTNVcGfu0vvTPg</v>
      </c>
      <c r="AU18" s="89" t="str">
        <f>REPLACE(INDEX(GroupVertices[Group],MATCH(Vertices[[#This Row],[Vertex]],GroupVertices[Vertex],0)),1,1,"")</f>
        <v>3</v>
      </c>
      <c r="AV18" s="48">
        <v>15</v>
      </c>
      <c r="AW18" s="49">
        <v>2.697841726618705</v>
      </c>
      <c r="AX18" s="48">
        <v>20</v>
      </c>
      <c r="AY18" s="49">
        <v>3.597122302158273</v>
      </c>
      <c r="AZ18" s="48">
        <v>0</v>
      </c>
      <c r="BA18" s="49">
        <v>0</v>
      </c>
      <c r="BB18" s="48">
        <v>521</v>
      </c>
      <c r="BC18" s="49">
        <v>93.70503597122303</v>
      </c>
      <c r="BD18" s="48">
        <v>556</v>
      </c>
      <c r="BE18" s="48"/>
      <c r="BF18" s="48"/>
      <c r="BG18" s="48"/>
      <c r="BH18" s="48"/>
      <c r="BI18" s="48"/>
      <c r="BJ18" s="48"/>
      <c r="BK18" s="48" t="s">
        <v>1348</v>
      </c>
      <c r="BL18" s="48" t="s">
        <v>1349</v>
      </c>
      <c r="BM18" s="119" t="s">
        <v>1406</v>
      </c>
      <c r="BN18" s="119" t="s">
        <v>1498</v>
      </c>
      <c r="BO18" s="119" t="s">
        <v>1525</v>
      </c>
      <c r="BP18" s="119" t="s">
        <v>1525</v>
      </c>
      <c r="BQ18" s="2"/>
      <c r="BR18" s="3"/>
      <c r="BS18" s="3"/>
      <c r="BT18" s="3"/>
      <c r="BU18" s="3"/>
    </row>
    <row r="19" spans="1:73" ht="15">
      <c r="A19" s="66" t="s">
        <v>779</v>
      </c>
      <c r="B19" s="67"/>
      <c r="C19" s="67"/>
      <c r="D19" s="68">
        <v>520</v>
      </c>
      <c r="E19" s="124"/>
      <c r="F19" s="98" t="str">
        <f>HYPERLINK("https://yt3.ggpht.com/a/AATXAJzX7_Au-AY5pHWM1vhaYqXN0og6FDN3ARv_Wpw8Lw=s88-c-k-c0xffffffff-no-rj-mo")</f>
        <v>https://yt3.ggpht.com/a/AATXAJzX7_Au-AY5pHWM1vhaYqXN0og6FDN3ARv_Wpw8Lw=s88-c-k-c0xffffffff-no-rj-mo</v>
      </c>
      <c r="G19" s="125"/>
      <c r="H19" s="71" t="s">
        <v>1086</v>
      </c>
      <c r="I19" s="72"/>
      <c r="J19" s="126" t="s">
        <v>75</v>
      </c>
      <c r="K19" s="71" t="s">
        <v>1086</v>
      </c>
      <c r="L19" s="127">
        <v>477.0952380952381</v>
      </c>
      <c r="M19" s="76">
        <v>7510.0986328125</v>
      </c>
      <c r="N19" s="76">
        <v>5022.5341796875</v>
      </c>
      <c r="O19" s="77"/>
      <c r="P19" s="78"/>
      <c r="Q19" s="78"/>
      <c r="R19" s="128"/>
      <c r="S19" s="48">
        <v>2</v>
      </c>
      <c r="T19" s="48">
        <v>4</v>
      </c>
      <c r="U19" s="49">
        <v>237.419048</v>
      </c>
      <c r="V19" s="49">
        <v>0.003704</v>
      </c>
      <c r="W19" s="49">
        <v>0.021328</v>
      </c>
      <c r="X19" s="49">
        <v>1.607239</v>
      </c>
      <c r="Y19" s="49">
        <v>0.16666666666666666</v>
      </c>
      <c r="Z19" s="49">
        <v>0</v>
      </c>
      <c r="AA19" s="73">
        <v>19</v>
      </c>
      <c r="AB19" s="73"/>
      <c r="AC19" s="74"/>
      <c r="AD19" s="90" t="s">
        <v>1086</v>
      </c>
      <c r="AE19" s="90"/>
      <c r="AF19" s="90"/>
      <c r="AG19" s="90"/>
      <c r="AH19" s="90"/>
      <c r="AI19" s="90"/>
      <c r="AJ19" s="96">
        <v>39657.283587962964</v>
      </c>
      <c r="AK19" s="93" t="str">
        <f>HYPERLINK("https://yt3.ggpht.com/a/AATXAJzX7_Au-AY5pHWM1vhaYqXN0og6FDN3ARv_Wpw8Lw=s88-c-k-c0xffffffff-no-rj-mo")</f>
        <v>https://yt3.ggpht.com/a/AATXAJzX7_Au-AY5pHWM1vhaYqXN0og6FDN3ARv_Wpw8Lw=s88-c-k-c0xffffffff-no-rj-mo</v>
      </c>
      <c r="AL19" s="90">
        <v>0</v>
      </c>
      <c r="AM19" s="90">
        <v>0</v>
      </c>
      <c r="AN19" s="90">
        <v>8</v>
      </c>
      <c r="AO19" s="90" t="b">
        <v>0</v>
      </c>
      <c r="AP19" s="90">
        <v>0</v>
      </c>
      <c r="AQ19" s="90"/>
      <c r="AR19" s="90"/>
      <c r="AS19" s="90" t="s">
        <v>341</v>
      </c>
      <c r="AT19" s="93" t="str">
        <f>HYPERLINK("https://www.youtube.com/channel/UCcpk4DMUL77bDwnugsEEHwQ")</f>
        <v>https://www.youtube.com/channel/UCcpk4DMUL77bDwnugsEEHwQ</v>
      </c>
      <c r="AU19" s="89" t="str">
        <f>REPLACE(INDEX(GroupVertices[Group],MATCH(Vertices[[#This Row],[Vertex]],GroupVertices[Vertex],0)),1,1,"")</f>
        <v>6</v>
      </c>
      <c r="AV19" s="48">
        <v>1</v>
      </c>
      <c r="AW19" s="49">
        <v>1.2987012987012987</v>
      </c>
      <c r="AX19" s="48">
        <v>4</v>
      </c>
      <c r="AY19" s="49">
        <v>5.194805194805195</v>
      </c>
      <c r="AZ19" s="48">
        <v>0</v>
      </c>
      <c r="BA19" s="49">
        <v>0</v>
      </c>
      <c r="BB19" s="48">
        <v>72</v>
      </c>
      <c r="BC19" s="49">
        <v>93.50649350649351</v>
      </c>
      <c r="BD19" s="48">
        <v>77</v>
      </c>
      <c r="BE19" s="48"/>
      <c r="BF19" s="48"/>
      <c r="BG19" s="48"/>
      <c r="BH19" s="48"/>
      <c r="BI19" s="48"/>
      <c r="BJ19" s="48"/>
      <c r="BK19" s="48" t="s">
        <v>1349</v>
      </c>
      <c r="BL19" s="48" t="s">
        <v>1349</v>
      </c>
      <c r="BM19" s="119" t="s">
        <v>1407</v>
      </c>
      <c r="BN19" s="119" t="s">
        <v>1407</v>
      </c>
      <c r="BO19" s="119" t="s">
        <v>1526</v>
      </c>
      <c r="BP19" s="119" t="s">
        <v>1526</v>
      </c>
      <c r="BQ19" s="2"/>
      <c r="BR19" s="3"/>
      <c r="BS19" s="3"/>
      <c r="BT19" s="3"/>
      <c r="BU19" s="3"/>
    </row>
    <row r="20" spans="1:73" ht="15">
      <c r="A20" s="66" t="s">
        <v>781</v>
      </c>
      <c r="B20" s="67"/>
      <c r="C20" s="67"/>
      <c r="D20" s="68">
        <v>200</v>
      </c>
      <c r="E20" s="124"/>
      <c r="F20" s="98" t="str">
        <f>HYPERLINK("https://yt3.ggpht.com/a/AATXAJxFIOis8Tdk3B6Z0xkhayRHvLCf3XDU3QB0KA=s88-c-k-c0xffffffff-no-rj-mo")</f>
        <v>https://yt3.ggpht.com/a/AATXAJxFIOis8Tdk3B6Z0xkhayRHvLCf3XDU3QB0KA=s88-c-k-c0xffffffff-no-rj-mo</v>
      </c>
      <c r="G20" s="125"/>
      <c r="H20" s="71" t="s">
        <v>1088</v>
      </c>
      <c r="I20" s="72"/>
      <c r="J20" s="126" t="s">
        <v>159</v>
      </c>
      <c r="K20" s="71" t="s">
        <v>1088</v>
      </c>
      <c r="L20" s="127">
        <v>1</v>
      </c>
      <c r="M20" s="76">
        <v>9173.34375</v>
      </c>
      <c r="N20" s="76">
        <v>9695.9189453125</v>
      </c>
      <c r="O20" s="77"/>
      <c r="P20" s="78"/>
      <c r="Q20" s="78"/>
      <c r="R20" s="128"/>
      <c r="S20" s="48">
        <v>0</v>
      </c>
      <c r="T20" s="48">
        <v>1</v>
      </c>
      <c r="U20" s="49">
        <v>0</v>
      </c>
      <c r="V20" s="49">
        <v>0.002674</v>
      </c>
      <c r="W20" s="49">
        <v>0.002547</v>
      </c>
      <c r="X20" s="49">
        <v>0.493653</v>
      </c>
      <c r="Y20" s="49">
        <v>0</v>
      </c>
      <c r="Z20" s="49">
        <v>0</v>
      </c>
      <c r="AA20" s="73">
        <v>20</v>
      </c>
      <c r="AB20" s="73"/>
      <c r="AC20" s="74"/>
      <c r="AD20" s="90" t="s">
        <v>1088</v>
      </c>
      <c r="AE20" s="90" t="s">
        <v>1233</v>
      </c>
      <c r="AF20" s="90"/>
      <c r="AG20" s="90"/>
      <c r="AH20" s="90"/>
      <c r="AI20" s="90"/>
      <c r="AJ20" s="96">
        <v>40274.23195601852</v>
      </c>
      <c r="AK20" s="93" t="str">
        <f>HYPERLINK("https://yt3.ggpht.com/a/AATXAJxFIOis8Tdk3B6Z0xkhayRHvLCf3XDU3QB0KA=s88-c-k-c0xffffffff-no-rj-mo")</f>
        <v>https://yt3.ggpht.com/a/AATXAJxFIOis8Tdk3B6Z0xkhayRHvLCf3XDU3QB0KA=s88-c-k-c0xffffffff-no-rj-mo</v>
      </c>
      <c r="AL20" s="90">
        <v>16</v>
      </c>
      <c r="AM20" s="90">
        <v>0</v>
      </c>
      <c r="AN20" s="90">
        <v>0</v>
      </c>
      <c r="AO20" s="90" t="b">
        <v>0</v>
      </c>
      <c r="AP20" s="90">
        <v>3</v>
      </c>
      <c r="AQ20" s="90"/>
      <c r="AR20" s="90"/>
      <c r="AS20" s="90" t="s">
        <v>341</v>
      </c>
      <c r="AT20" s="93" t="str">
        <f>HYPERLINK("https://www.youtube.com/channel/UCz5qRMQF5M6D4SpON8nzbHg")</f>
        <v>https://www.youtube.com/channel/UCz5qRMQF5M6D4SpON8nzbHg</v>
      </c>
      <c r="AU20" s="89" t="str">
        <f>REPLACE(INDEX(GroupVertices[Group],MATCH(Vertices[[#This Row],[Vertex]],GroupVertices[Vertex],0)),1,1,"")</f>
        <v>5</v>
      </c>
      <c r="AV20" s="48">
        <v>2</v>
      </c>
      <c r="AW20" s="49">
        <v>2.380952380952381</v>
      </c>
      <c r="AX20" s="48">
        <v>2</v>
      </c>
      <c r="AY20" s="49">
        <v>2.380952380952381</v>
      </c>
      <c r="AZ20" s="48">
        <v>0</v>
      </c>
      <c r="BA20" s="49">
        <v>0</v>
      </c>
      <c r="BB20" s="48">
        <v>80</v>
      </c>
      <c r="BC20" s="49">
        <v>95.23809523809524</v>
      </c>
      <c r="BD20" s="48">
        <v>84</v>
      </c>
      <c r="BE20" s="48"/>
      <c r="BF20" s="48"/>
      <c r="BG20" s="48"/>
      <c r="BH20" s="48"/>
      <c r="BI20" s="48"/>
      <c r="BJ20" s="48"/>
      <c r="BK20" s="48" t="s">
        <v>686</v>
      </c>
      <c r="BL20" s="48" t="s">
        <v>686</v>
      </c>
      <c r="BM20" s="119" t="s">
        <v>1408</v>
      </c>
      <c r="BN20" s="119" t="s">
        <v>1408</v>
      </c>
      <c r="BO20" s="119" t="s">
        <v>1527</v>
      </c>
      <c r="BP20" s="119" t="s">
        <v>1527</v>
      </c>
      <c r="BQ20" s="2"/>
      <c r="BR20" s="3"/>
      <c r="BS20" s="3"/>
      <c r="BT20" s="3"/>
      <c r="BU20" s="3"/>
    </row>
    <row r="21" spans="1:73" ht="15">
      <c r="A21" s="66" t="s">
        <v>791</v>
      </c>
      <c r="B21" s="67"/>
      <c r="C21" s="67"/>
      <c r="D21" s="68">
        <v>1000</v>
      </c>
      <c r="E21" s="124"/>
      <c r="F21" s="98" t="str">
        <f>HYPERLINK("https://yt3.ggpht.com/a/AATXAJxwEM_L5l9IwZ2j2EsqLd96aXXDcKyUiPL5OqZG=s88-c-k-c0xffffffff-no-rj-mo")</f>
        <v>https://yt3.ggpht.com/a/AATXAJxwEM_L5l9IwZ2j2EsqLd96aXXDcKyUiPL5OqZG=s88-c-k-c0xffffffff-no-rj-mo</v>
      </c>
      <c r="G21" s="125"/>
      <c r="H21" s="71" t="s">
        <v>1098</v>
      </c>
      <c r="I21" s="72"/>
      <c r="J21" s="126" t="s">
        <v>75</v>
      </c>
      <c r="K21" s="71" t="s">
        <v>1098</v>
      </c>
      <c r="L21" s="127">
        <v>2619.5238095238096</v>
      </c>
      <c r="M21" s="76">
        <v>8576.5654296875</v>
      </c>
      <c r="N21" s="76">
        <v>8163.99560546875</v>
      </c>
      <c r="O21" s="77"/>
      <c r="P21" s="78"/>
      <c r="Q21" s="78"/>
      <c r="R21" s="128"/>
      <c r="S21" s="48">
        <v>11</v>
      </c>
      <c r="T21" s="48">
        <v>1</v>
      </c>
      <c r="U21" s="49">
        <v>2100.689784</v>
      </c>
      <c r="V21" s="49">
        <v>0.003774</v>
      </c>
      <c r="W21" s="49">
        <v>0.019061</v>
      </c>
      <c r="X21" s="49">
        <v>4.851581</v>
      </c>
      <c r="Y21" s="49">
        <v>0</v>
      </c>
      <c r="Z21" s="49">
        <v>0</v>
      </c>
      <c r="AA21" s="73">
        <v>21</v>
      </c>
      <c r="AB21" s="73"/>
      <c r="AC21" s="74"/>
      <c r="AD21" s="90" t="s">
        <v>1098</v>
      </c>
      <c r="AE21" s="90"/>
      <c r="AF21" s="90"/>
      <c r="AG21" s="90"/>
      <c r="AH21" s="90"/>
      <c r="AI21" s="90"/>
      <c r="AJ21" s="96">
        <v>41065.0534375</v>
      </c>
      <c r="AK21" s="93" t="str">
        <f>HYPERLINK("https://yt3.ggpht.com/a/AATXAJxwEM_L5l9IwZ2j2EsqLd96aXXDcKyUiPL5OqZG=s88-c-k-c0xffffffff-no-rj-mo")</f>
        <v>https://yt3.ggpht.com/a/AATXAJxwEM_L5l9IwZ2j2EsqLd96aXXDcKyUiPL5OqZG=s88-c-k-c0xffffffff-no-rj-mo</v>
      </c>
      <c r="AL21" s="90">
        <v>1155</v>
      </c>
      <c r="AM21" s="90">
        <v>0</v>
      </c>
      <c r="AN21" s="90">
        <v>33</v>
      </c>
      <c r="AO21" s="90" t="b">
        <v>0</v>
      </c>
      <c r="AP21" s="90">
        <v>25</v>
      </c>
      <c r="AQ21" s="90"/>
      <c r="AR21" s="90"/>
      <c r="AS21" s="90" t="s">
        <v>341</v>
      </c>
      <c r="AT21" s="93" t="str">
        <f>HYPERLINK("https://www.youtube.com/channel/UCyX1u6BJ7pON23E-9mIXl8Q")</f>
        <v>https://www.youtube.com/channel/UCyX1u6BJ7pON23E-9mIXl8Q</v>
      </c>
      <c r="AU21" s="89" t="str">
        <f>REPLACE(INDEX(GroupVertices[Group],MATCH(Vertices[[#This Row],[Vertex]],GroupVertices[Vertex],0)),1,1,"")</f>
        <v>5</v>
      </c>
      <c r="AV21" s="48">
        <v>4</v>
      </c>
      <c r="AW21" s="49">
        <v>12.121212121212121</v>
      </c>
      <c r="AX21" s="48">
        <v>0</v>
      </c>
      <c r="AY21" s="49">
        <v>0</v>
      </c>
      <c r="AZ21" s="48">
        <v>0</v>
      </c>
      <c r="BA21" s="49">
        <v>0</v>
      </c>
      <c r="BB21" s="48">
        <v>29</v>
      </c>
      <c r="BC21" s="49">
        <v>87.87878787878788</v>
      </c>
      <c r="BD21" s="48">
        <v>33</v>
      </c>
      <c r="BE21" s="48"/>
      <c r="BF21" s="48"/>
      <c r="BG21" s="48"/>
      <c r="BH21" s="48"/>
      <c r="BI21" s="48"/>
      <c r="BJ21" s="48"/>
      <c r="BK21" s="48" t="s">
        <v>1347</v>
      </c>
      <c r="BL21" s="48" t="s">
        <v>1347</v>
      </c>
      <c r="BM21" s="119" t="s">
        <v>1409</v>
      </c>
      <c r="BN21" s="119" t="s">
        <v>1409</v>
      </c>
      <c r="BO21" s="119" t="s">
        <v>1528</v>
      </c>
      <c r="BP21" s="119" t="s">
        <v>1528</v>
      </c>
      <c r="BQ21" s="2"/>
      <c r="BR21" s="3"/>
      <c r="BS21" s="3"/>
      <c r="BT21" s="3"/>
      <c r="BU21" s="3"/>
    </row>
    <row r="22" spans="1:73" ht="15">
      <c r="A22" s="66" t="s">
        <v>782</v>
      </c>
      <c r="B22" s="67"/>
      <c r="C22" s="67"/>
      <c r="D22" s="68">
        <v>200</v>
      </c>
      <c r="E22" s="124"/>
      <c r="F22" s="98" t="str">
        <f>HYPERLINK("https://yt3.ggpht.com/a/AATXAJwSe97cJdDVngcxsedaZdWirPT_dLHtKG6B=s88-c-k-c0xffffffff-no-rj-mo")</f>
        <v>https://yt3.ggpht.com/a/AATXAJwSe97cJdDVngcxsedaZdWirPT_dLHtKG6B=s88-c-k-c0xffffffff-no-rj-mo</v>
      </c>
      <c r="G22" s="125"/>
      <c r="H22" s="71" t="s">
        <v>1089</v>
      </c>
      <c r="I22" s="72"/>
      <c r="J22" s="126" t="s">
        <v>159</v>
      </c>
      <c r="K22" s="71" t="s">
        <v>1089</v>
      </c>
      <c r="L22" s="127">
        <v>1</v>
      </c>
      <c r="M22" s="76">
        <v>7979.744140625</v>
      </c>
      <c r="N22" s="76">
        <v>6632.025390625</v>
      </c>
      <c r="O22" s="77"/>
      <c r="P22" s="78"/>
      <c r="Q22" s="78"/>
      <c r="R22" s="128"/>
      <c r="S22" s="48">
        <v>0</v>
      </c>
      <c r="T22" s="48">
        <v>1</v>
      </c>
      <c r="U22" s="49">
        <v>0</v>
      </c>
      <c r="V22" s="49">
        <v>0.002674</v>
      </c>
      <c r="W22" s="49">
        <v>0.002547</v>
      </c>
      <c r="X22" s="49">
        <v>0.493653</v>
      </c>
      <c r="Y22" s="49">
        <v>0</v>
      </c>
      <c r="Z22" s="49">
        <v>0</v>
      </c>
      <c r="AA22" s="73">
        <v>22</v>
      </c>
      <c r="AB22" s="73"/>
      <c r="AC22" s="74"/>
      <c r="AD22" s="90" t="s">
        <v>1089</v>
      </c>
      <c r="AE22" s="90"/>
      <c r="AF22" s="90"/>
      <c r="AG22" s="90"/>
      <c r="AH22" s="90"/>
      <c r="AI22" s="90"/>
      <c r="AJ22" s="96">
        <v>42335.40027777778</v>
      </c>
      <c r="AK22" s="93" t="str">
        <f>HYPERLINK("https://yt3.ggpht.com/a/AATXAJwSe97cJdDVngcxsedaZdWirPT_dLHtKG6B=s88-c-k-c0xffffffff-no-rj-mo")</f>
        <v>https://yt3.ggpht.com/a/AATXAJwSe97cJdDVngcxsedaZdWirPT_dLHtKG6B=s88-c-k-c0xffffffff-no-rj-mo</v>
      </c>
      <c r="AL22" s="90">
        <v>0</v>
      </c>
      <c r="AM22" s="90">
        <v>0</v>
      </c>
      <c r="AN22" s="90">
        <v>14</v>
      </c>
      <c r="AO22" s="90" t="b">
        <v>0</v>
      </c>
      <c r="AP22" s="90">
        <v>0</v>
      </c>
      <c r="AQ22" s="90"/>
      <c r="AR22" s="90"/>
      <c r="AS22" s="90" t="s">
        <v>341</v>
      </c>
      <c r="AT22" s="93" t="str">
        <f>HYPERLINK("https://www.youtube.com/channel/UCtEdGDji4XmV0hboA_wm0_g")</f>
        <v>https://www.youtube.com/channel/UCtEdGDji4XmV0hboA_wm0_g</v>
      </c>
      <c r="AU22" s="89" t="str">
        <f>REPLACE(INDEX(GroupVertices[Group],MATCH(Vertices[[#This Row],[Vertex]],GroupVertices[Vertex],0)),1,1,"")</f>
        <v>5</v>
      </c>
      <c r="AV22" s="48">
        <v>0</v>
      </c>
      <c r="AW22" s="49">
        <v>0</v>
      </c>
      <c r="AX22" s="48">
        <v>0</v>
      </c>
      <c r="AY22" s="49">
        <v>0</v>
      </c>
      <c r="AZ22" s="48">
        <v>0</v>
      </c>
      <c r="BA22" s="49">
        <v>0</v>
      </c>
      <c r="BB22" s="48">
        <v>11</v>
      </c>
      <c r="BC22" s="49">
        <v>100</v>
      </c>
      <c r="BD22" s="48">
        <v>11</v>
      </c>
      <c r="BE22" s="48"/>
      <c r="BF22" s="48"/>
      <c r="BG22" s="48"/>
      <c r="BH22" s="48"/>
      <c r="BI22" s="48"/>
      <c r="BJ22" s="48"/>
      <c r="BK22" s="48" t="s">
        <v>686</v>
      </c>
      <c r="BL22" s="48" t="s">
        <v>686</v>
      </c>
      <c r="BM22" s="119" t="s">
        <v>1410</v>
      </c>
      <c r="BN22" s="119" t="s">
        <v>1410</v>
      </c>
      <c r="BO22" s="119" t="s">
        <v>1529</v>
      </c>
      <c r="BP22" s="119" t="s">
        <v>1529</v>
      </c>
      <c r="BQ22" s="2"/>
      <c r="BR22" s="3"/>
      <c r="BS22" s="3"/>
      <c r="BT22" s="3"/>
      <c r="BU22" s="3"/>
    </row>
    <row r="23" spans="1:73" ht="15">
      <c r="A23" s="66" t="s">
        <v>783</v>
      </c>
      <c r="B23" s="67"/>
      <c r="C23" s="67"/>
      <c r="D23" s="68">
        <v>200</v>
      </c>
      <c r="E23" s="124"/>
      <c r="F23" s="98" t="str">
        <f>HYPERLINK("https://yt3.ggpht.com/a/AATXAJyrM8b8vlRRyVeplDZbRJsi4bjE1Liaoy-hB_xGjg=s88-c-k-c0xffffffff-no-rj-mo")</f>
        <v>https://yt3.ggpht.com/a/AATXAJyrM8b8vlRRyVeplDZbRJsi4bjE1Liaoy-hB_xGjg=s88-c-k-c0xffffffff-no-rj-mo</v>
      </c>
      <c r="G23" s="125"/>
      <c r="H23" s="71" t="s">
        <v>1090</v>
      </c>
      <c r="I23" s="72"/>
      <c r="J23" s="126" t="s">
        <v>159</v>
      </c>
      <c r="K23" s="71" t="s">
        <v>1090</v>
      </c>
      <c r="L23" s="127">
        <v>1</v>
      </c>
      <c r="M23" s="76">
        <v>7394.44970703125</v>
      </c>
      <c r="N23" s="76">
        <v>7376.36328125</v>
      </c>
      <c r="O23" s="77"/>
      <c r="P23" s="78"/>
      <c r="Q23" s="78"/>
      <c r="R23" s="128"/>
      <c r="S23" s="48">
        <v>0</v>
      </c>
      <c r="T23" s="48">
        <v>1</v>
      </c>
      <c r="U23" s="49">
        <v>0</v>
      </c>
      <c r="V23" s="49">
        <v>0.002674</v>
      </c>
      <c r="W23" s="49">
        <v>0.002547</v>
      </c>
      <c r="X23" s="49">
        <v>0.493653</v>
      </c>
      <c r="Y23" s="49">
        <v>0</v>
      </c>
      <c r="Z23" s="49">
        <v>0</v>
      </c>
      <c r="AA23" s="73">
        <v>23</v>
      </c>
      <c r="AB23" s="73"/>
      <c r="AC23" s="74"/>
      <c r="AD23" s="90" t="s">
        <v>1090</v>
      </c>
      <c r="AE23" s="90"/>
      <c r="AF23" s="90"/>
      <c r="AG23" s="90"/>
      <c r="AH23" s="90"/>
      <c r="AI23" s="90"/>
      <c r="AJ23" s="96">
        <v>40892.74506944444</v>
      </c>
      <c r="AK23" s="93" t="str">
        <f>HYPERLINK("https://yt3.ggpht.com/a/AATXAJyrM8b8vlRRyVeplDZbRJsi4bjE1Liaoy-hB_xGjg=s88-c-k-c0xffffffff-no-rj-mo")</f>
        <v>https://yt3.ggpht.com/a/AATXAJyrM8b8vlRRyVeplDZbRJsi4bjE1Liaoy-hB_xGjg=s88-c-k-c0xffffffff-no-rj-mo</v>
      </c>
      <c r="AL23" s="90">
        <v>694</v>
      </c>
      <c r="AM23" s="90">
        <v>0</v>
      </c>
      <c r="AN23" s="90">
        <v>1</v>
      </c>
      <c r="AO23" s="90" t="b">
        <v>0</v>
      </c>
      <c r="AP23" s="90">
        <v>3</v>
      </c>
      <c r="AQ23" s="90"/>
      <c r="AR23" s="90"/>
      <c r="AS23" s="90" t="s">
        <v>341</v>
      </c>
      <c r="AT23" s="93" t="str">
        <f>HYPERLINK("https://www.youtube.com/channel/UCIvbhIsBxxNyHDQrRHZjY5w")</f>
        <v>https://www.youtube.com/channel/UCIvbhIsBxxNyHDQrRHZjY5w</v>
      </c>
      <c r="AU23" s="89" t="str">
        <f>REPLACE(INDEX(GroupVertices[Group],MATCH(Vertices[[#This Row],[Vertex]],GroupVertices[Vertex],0)),1,1,"")</f>
        <v>5</v>
      </c>
      <c r="AV23" s="48">
        <v>0</v>
      </c>
      <c r="AW23" s="49">
        <v>0</v>
      </c>
      <c r="AX23" s="48">
        <v>0</v>
      </c>
      <c r="AY23" s="49">
        <v>0</v>
      </c>
      <c r="AZ23" s="48">
        <v>0</v>
      </c>
      <c r="BA23" s="49">
        <v>0</v>
      </c>
      <c r="BB23" s="48">
        <v>2</v>
      </c>
      <c r="BC23" s="49">
        <v>100</v>
      </c>
      <c r="BD23" s="48">
        <v>2</v>
      </c>
      <c r="BE23" s="48"/>
      <c r="BF23" s="48"/>
      <c r="BG23" s="48"/>
      <c r="BH23" s="48"/>
      <c r="BI23" s="48"/>
      <c r="BJ23" s="48"/>
      <c r="BK23" s="48" t="s">
        <v>686</v>
      </c>
      <c r="BL23" s="48" t="s">
        <v>686</v>
      </c>
      <c r="BM23" s="119" t="s">
        <v>708</v>
      </c>
      <c r="BN23" s="119" t="s">
        <v>708</v>
      </c>
      <c r="BO23" s="119" t="s">
        <v>708</v>
      </c>
      <c r="BP23" s="119" t="s">
        <v>708</v>
      </c>
      <c r="BQ23" s="2"/>
      <c r="BR23" s="3"/>
      <c r="BS23" s="3"/>
      <c r="BT23" s="3"/>
      <c r="BU23" s="3"/>
    </row>
    <row r="24" spans="1:73" ht="15">
      <c r="A24" s="66" t="s">
        <v>784</v>
      </c>
      <c r="B24" s="67"/>
      <c r="C24" s="67"/>
      <c r="D24" s="68">
        <v>200</v>
      </c>
      <c r="E24" s="124"/>
      <c r="F24" s="98" t="str">
        <f>HYPERLINK("https://yt3.ggpht.com/a/AATXAJw8ek9ZsvYU1o6mkRaCTjccx_rjwziy5XYd9ag=s88-c-k-c0xffffffff-no-rj-mo")</f>
        <v>https://yt3.ggpht.com/a/AATXAJw8ek9ZsvYU1o6mkRaCTjccx_rjwziy5XYd9ag=s88-c-k-c0xffffffff-no-rj-mo</v>
      </c>
      <c r="G24" s="125"/>
      <c r="H24" s="71" t="s">
        <v>1091</v>
      </c>
      <c r="I24" s="72"/>
      <c r="J24" s="126" t="s">
        <v>159</v>
      </c>
      <c r="K24" s="71" t="s">
        <v>1091</v>
      </c>
      <c r="L24" s="127">
        <v>1</v>
      </c>
      <c r="M24" s="76">
        <v>9523.7890625</v>
      </c>
      <c r="N24" s="76">
        <v>6960.24365234375</v>
      </c>
      <c r="O24" s="77"/>
      <c r="P24" s="78"/>
      <c r="Q24" s="78"/>
      <c r="R24" s="128"/>
      <c r="S24" s="48">
        <v>0</v>
      </c>
      <c r="T24" s="48">
        <v>1</v>
      </c>
      <c r="U24" s="49">
        <v>0</v>
      </c>
      <c r="V24" s="49">
        <v>0.002674</v>
      </c>
      <c r="W24" s="49">
        <v>0.002547</v>
      </c>
      <c r="X24" s="49">
        <v>0.493653</v>
      </c>
      <c r="Y24" s="49">
        <v>0</v>
      </c>
      <c r="Z24" s="49">
        <v>0</v>
      </c>
      <c r="AA24" s="73">
        <v>24</v>
      </c>
      <c r="AB24" s="73"/>
      <c r="AC24" s="74"/>
      <c r="AD24" s="90" t="s">
        <v>1091</v>
      </c>
      <c r="AE24" s="90"/>
      <c r="AF24" s="90"/>
      <c r="AG24" s="90"/>
      <c r="AH24" s="90"/>
      <c r="AI24" s="90"/>
      <c r="AJ24" s="96">
        <v>41961.56328703704</v>
      </c>
      <c r="AK24" s="93" t="str">
        <f>HYPERLINK("https://yt3.ggpht.com/a/AATXAJw8ek9ZsvYU1o6mkRaCTjccx_rjwziy5XYd9ag=s88-c-k-c0xffffffff-no-rj-mo")</f>
        <v>https://yt3.ggpht.com/a/AATXAJw8ek9ZsvYU1o6mkRaCTjccx_rjwziy5XYd9ag=s88-c-k-c0xffffffff-no-rj-mo</v>
      </c>
      <c r="AL24" s="90">
        <v>13602</v>
      </c>
      <c r="AM24" s="90">
        <v>0</v>
      </c>
      <c r="AN24" s="90">
        <v>61</v>
      </c>
      <c r="AO24" s="90" t="b">
        <v>0</v>
      </c>
      <c r="AP24" s="90">
        <v>14</v>
      </c>
      <c r="AQ24" s="90"/>
      <c r="AR24" s="90"/>
      <c r="AS24" s="90" t="s">
        <v>341</v>
      </c>
      <c r="AT24" s="93" t="str">
        <f>HYPERLINK("https://www.youtube.com/channel/UC6Uo2ffY8Bie7FRTjvyqnog")</f>
        <v>https://www.youtube.com/channel/UC6Uo2ffY8Bie7FRTjvyqnog</v>
      </c>
      <c r="AU24" s="89" t="str">
        <f>REPLACE(INDEX(GroupVertices[Group],MATCH(Vertices[[#This Row],[Vertex]],GroupVertices[Vertex],0)),1,1,"")</f>
        <v>5</v>
      </c>
      <c r="AV24" s="48">
        <v>1</v>
      </c>
      <c r="AW24" s="49">
        <v>5.2631578947368425</v>
      </c>
      <c r="AX24" s="48">
        <v>1</v>
      </c>
      <c r="AY24" s="49">
        <v>5.2631578947368425</v>
      </c>
      <c r="AZ24" s="48">
        <v>0</v>
      </c>
      <c r="BA24" s="49">
        <v>0</v>
      </c>
      <c r="BB24" s="48">
        <v>17</v>
      </c>
      <c r="BC24" s="49">
        <v>89.47368421052632</v>
      </c>
      <c r="BD24" s="48">
        <v>19</v>
      </c>
      <c r="BE24" s="48"/>
      <c r="BF24" s="48"/>
      <c r="BG24" s="48"/>
      <c r="BH24" s="48"/>
      <c r="BI24" s="48"/>
      <c r="BJ24" s="48"/>
      <c r="BK24" s="48" t="s">
        <v>686</v>
      </c>
      <c r="BL24" s="48" t="s">
        <v>686</v>
      </c>
      <c r="BM24" s="119" t="s">
        <v>1411</v>
      </c>
      <c r="BN24" s="119" t="s">
        <v>1411</v>
      </c>
      <c r="BO24" s="119" t="s">
        <v>1530</v>
      </c>
      <c r="BP24" s="119" t="s">
        <v>1530</v>
      </c>
      <c r="BQ24" s="2"/>
      <c r="BR24" s="3"/>
      <c r="BS24" s="3"/>
      <c r="BT24" s="3"/>
      <c r="BU24" s="3"/>
    </row>
    <row r="25" spans="1:73" ht="15">
      <c r="A25" s="66" t="s">
        <v>785</v>
      </c>
      <c r="B25" s="67"/>
      <c r="C25" s="67"/>
      <c r="D25" s="68">
        <v>200</v>
      </c>
      <c r="E25" s="124"/>
      <c r="F25" s="98" t="str">
        <f>HYPERLINK("https://yt3.ggpht.com/a/AATXAJxc7WtsLLJeaIOa5KHyfuULjHC8mc10bFj97xTc=s88-c-k-c0xffffffff-no-rj-mo")</f>
        <v>https://yt3.ggpht.com/a/AATXAJxc7WtsLLJeaIOa5KHyfuULjHC8mc10bFj97xTc=s88-c-k-c0xffffffff-no-rj-mo</v>
      </c>
      <c r="G25" s="125"/>
      <c r="H25" s="71" t="s">
        <v>1092</v>
      </c>
      <c r="I25" s="72"/>
      <c r="J25" s="126" t="s">
        <v>159</v>
      </c>
      <c r="K25" s="71" t="s">
        <v>1092</v>
      </c>
      <c r="L25" s="127">
        <v>1</v>
      </c>
      <c r="M25" s="76">
        <v>9758.6953125</v>
      </c>
      <c r="N25" s="76">
        <v>8951.6923828125</v>
      </c>
      <c r="O25" s="77"/>
      <c r="P25" s="78"/>
      <c r="Q25" s="78"/>
      <c r="R25" s="128"/>
      <c r="S25" s="48">
        <v>0</v>
      </c>
      <c r="T25" s="48">
        <v>1</v>
      </c>
      <c r="U25" s="49">
        <v>0</v>
      </c>
      <c r="V25" s="49">
        <v>0.002674</v>
      </c>
      <c r="W25" s="49">
        <v>0.002547</v>
      </c>
      <c r="X25" s="49">
        <v>0.493653</v>
      </c>
      <c r="Y25" s="49">
        <v>0</v>
      </c>
      <c r="Z25" s="49">
        <v>0</v>
      </c>
      <c r="AA25" s="73">
        <v>25</v>
      </c>
      <c r="AB25" s="73"/>
      <c r="AC25" s="74"/>
      <c r="AD25" s="90" t="s">
        <v>1092</v>
      </c>
      <c r="AE25" s="90" t="s">
        <v>1234</v>
      </c>
      <c r="AF25" s="90"/>
      <c r="AG25" s="90"/>
      <c r="AH25" s="90"/>
      <c r="AI25" s="90" t="s">
        <v>1247</v>
      </c>
      <c r="AJ25" s="96">
        <v>39957.871203703704</v>
      </c>
      <c r="AK25" s="93" t="str">
        <f>HYPERLINK("https://yt3.ggpht.com/a/AATXAJxc7WtsLLJeaIOa5KHyfuULjHC8mc10bFj97xTc=s88-c-k-c0xffffffff-no-rj-mo")</f>
        <v>https://yt3.ggpht.com/a/AATXAJxc7WtsLLJeaIOa5KHyfuULjHC8mc10bFj97xTc=s88-c-k-c0xffffffff-no-rj-mo</v>
      </c>
      <c r="AL25" s="90">
        <v>8418</v>
      </c>
      <c r="AM25" s="90">
        <v>0</v>
      </c>
      <c r="AN25" s="90">
        <v>145</v>
      </c>
      <c r="AO25" s="90" t="b">
        <v>0</v>
      </c>
      <c r="AP25" s="90">
        <v>60</v>
      </c>
      <c r="AQ25" s="90"/>
      <c r="AR25" s="90"/>
      <c r="AS25" s="90" t="s">
        <v>341</v>
      </c>
      <c r="AT25" s="93" t="str">
        <f>HYPERLINK("https://www.youtube.com/channel/UCJJBoNgLMuT2OEwqKxqd74Q")</f>
        <v>https://www.youtube.com/channel/UCJJBoNgLMuT2OEwqKxqd74Q</v>
      </c>
      <c r="AU25" s="89" t="str">
        <f>REPLACE(INDEX(GroupVertices[Group],MATCH(Vertices[[#This Row],[Vertex]],GroupVertices[Vertex],0)),1,1,"")</f>
        <v>5</v>
      </c>
      <c r="AV25" s="48">
        <v>0</v>
      </c>
      <c r="AW25" s="49">
        <v>0</v>
      </c>
      <c r="AX25" s="48">
        <v>2</v>
      </c>
      <c r="AY25" s="49">
        <v>6.666666666666667</v>
      </c>
      <c r="AZ25" s="48">
        <v>0</v>
      </c>
      <c r="BA25" s="49">
        <v>0</v>
      </c>
      <c r="BB25" s="48">
        <v>28</v>
      </c>
      <c r="BC25" s="49">
        <v>93.33333333333333</v>
      </c>
      <c r="BD25" s="48">
        <v>30</v>
      </c>
      <c r="BE25" s="48"/>
      <c r="BF25" s="48"/>
      <c r="BG25" s="48"/>
      <c r="BH25" s="48"/>
      <c r="BI25" s="48"/>
      <c r="BJ25" s="48"/>
      <c r="BK25" s="48" t="s">
        <v>686</v>
      </c>
      <c r="BL25" s="48" t="s">
        <v>686</v>
      </c>
      <c r="BM25" s="119" t="s">
        <v>1412</v>
      </c>
      <c r="BN25" s="119" t="s">
        <v>1412</v>
      </c>
      <c r="BO25" s="119" t="s">
        <v>1531</v>
      </c>
      <c r="BP25" s="119" t="s">
        <v>1531</v>
      </c>
      <c r="BQ25" s="2"/>
      <c r="BR25" s="3"/>
      <c r="BS25" s="3"/>
      <c r="BT25" s="3"/>
      <c r="BU25" s="3"/>
    </row>
    <row r="26" spans="1:73" ht="15">
      <c r="A26" s="66" t="s">
        <v>786</v>
      </c>
      <c r="B26" s="67"/>
      <c r="C26" s="67"/>
      <c r="D26" s="68">
        <v>200</v>
      </c>
      <c r="E26" s="124"/>
      <c r="F26" s="98" t="str">
        <f>HYPERLINK("https://yt3.ggpht.com/a/AATXAJzWGPsXzZS0CjethpEkyz1PNlrGt1B2Oaj22AAV=s88-c-k-c0xffffffff-no-rj-mo")</f>
        <v>https://yt3.ggpht.com/a/AATXAJzWGPsXzZS0CjethpEkyz1PNlrGt1B2Oaj22AAV=s88-c-k-c0xffffffff-no-rj-mo</v>
      </c>
      <c r="G26" s="125"/>
      <c r="H26" s="71" t="s">
        <v>1093</v>
      </c>
      <c r="I26" s="72"/>
      <c r="J26" s="126" t="s">
        <v>159</v>
      </c>
      <c r="K26" s="71" t="s">
        <v>1093</v>
      </c>
      <c r="L26" s="127">
        <v>1</v>
      </c>
      <c r="M26" s="76">
        <v>9819.6123046875</v>
      </c>
      <c r="N26" s="76">
        <v>7906.77685546875</v>
      </c>
      <c r="O26" s="77"/>
      <c r="P26" s="78"/>
      <c r="Q26" s="78"/>
      <c r="R26" s="128"/>
      <c r="S26" s="48">
        <v>0</v>
      </c>
      <c r="T26" s="48">
        <v>1</v>
      </c>
      <c r="U26" s="49">
        <v>0</v>
      </c>
      <c r="V26" s="49">
        <v>0.002674</v>
      </c>
      <c r="W26" s="49">
        <v>0.002547</v>
      </c>
      <c r="X26" s="49">
        <v>0.493653</v>
      </c>
      <c r="Y26" s="49">
        <v>0</v>
      </c>
      <c r="Z26" s="49">
        <v>0</v>
      </c>
      <c r="AA26" s="73">
        <v>26</v>
      </c>
      <c r="AB26" s="73"/>
      <c r="AC26" s="74"/>
      <c r="AD26" s="90" t="s">
        <v>1093</v>
      </c>
      <c r="AE26" s="90" t="s">
        <v>1235</v>
      </c>
      <c r="AF26" s="90"/>
      <c r="AG26" s="90"/>
      <c r="AH26" s="90"/>
      <c r="AI26" s="90"/>
      <c r="AJ26" s="96">
        <v>40464.138194444444</v>
      </c>
      <c r="AK26" s="93" t="str">
        <f>HYPERLINK("https://yt3.ggpht.com/a/AATXAJzWGPsXzZS0CjethpEkyz1PNlrGt1B2Oaj22AAV=s88-c-k-c0xffffffff-no-rj-mo")</f>
        <v>https://yt3.ggpht.com/a/AATXAJzWGPsXzZS0CjethpEkyz1PNlrGt1B2Oaj22AAV=s88-c-k-c0xffffffff-no-rj-mo</v>
      </c>
      <c r="AL26" s="90">
        <v>0</v>
      </c>
      <c r="AM26" s="90">
        <v>0</v>
      </c>
      <c r="AN26" s="90">
        <v>32</v>
      </c>
      <c r="AO26" s="90" t="b">
        <v>0</v>
      </c>
      <c r="AP26" s="90">
        <v>0</v>
      </c>
      <c r="AQ26" s="90"/>
      <c r="AR26" s="90"/>
      <c r="AS26" s="90" t="s">
        <v>341</v>
      </c>
      <c r="AT26" s="93" t="str">
        <f>HYPERLINK("https://www.youtube.com/channel/UCOrav9J_4AA_YhwEKB6GsBA")</f>
        <v>https://www.youtube.com/channel/UCOrav9J_4AA_YhwEKB6GsBA</v>
      </c>
      <c r="AU26" s="89" t="str">
        <f>REPLACE(INDEX(GroupVertices[Group],MATCH(Vertices[[#This Row],[Vertex]],GroupVertices[Vertex],0)),1,1,"")</f>
        <v>5</v>
      </c>
      <c r="AV26" s="48">
        <v>1</v>
      </c>
      <c r="AW26" s="49">
        <v>4.166666666666667</v>
      </c>
      <c r="AX26" s="48">
        <v>0</v>
      </c>
      <c r="AY26" s="49">
        <v>0</v>
      </c>
      <c r="AZ26" s="48">
        <v>0</v>
      </c>
      <c r="BA26" s="49">
        <v>0</v>
      </c>
      <c r="BB26" s="48">
        <v>23</v>
      </c>
      <c r="BC26" s="49">
        <v>95.83333333333333</v>
      </c>
      <c r="BD26" s="48">
        <v>24</v>
      </c>
      <c r="BE26" s="48"/>
      <c r="BF26" s="48"/>
      <c r="BG26" s="48"/>
      <c r="BH26" s="48"/>
      <c r="BI26" s="48"/>
      <c r="BJ26" s="48"/>
      <c r="BK26" s="48" t="s">
        <v>686</v>
      </c>
      <c r="BL26" s="48" t="s">
        <v>686</v>
      </c>
      <c r="BM26" s="119" t="s">
        <v>1413</v>
      </c>
      <c r="BN26" s="119" t="s">
        <v>1413</v>
      </c>
      <c r="BO26" s="119" t="s">
        <v>1532</v>
      </c>
      <c r="BP26" s="119" t="s">
        <v>1532</v>
      </c>
      <c r="BQ26" s="2"/>
      <c r="BR26" s="3"/>
      <c r="BS26" s="3"/>
      <c r="BT26" s="3"/>
      <c r="BU26" s="3"/>
    </row>
    <row r="27" spans="1:73" ht="15">
      <c r="A27" s="66" t="s">
        <v>787</v>
      </c>
      <c r="B27" s="67"/>
      <c r="C27" s="67"/>
      <c r="D27" s="68">
        <v>200</v>
      </c>
      <c r="E27" s="124"/>
      <c r="F27" s="98" t="str">
        <f>HYPERLINK("https://yt3.ggpht.com/a/AATXAJz2WvUzxHM7munK8ZoqRvu71JsC-QqSg0AF-Q=s88-c-k-c0xffffffff-no-rj-mo")</f>
        <v>https://yt3.ggpht.com/a/AATXAJz2WvUzxHM7munK8ZoqRvu71JsC-QqSg0AF-Q=s88-c-k-c0xffffffff-no-rj-mo</v>
      </c>
      <c r="G27" s="125"/>
      <c r="H27" s="71" t="s">
        <v>1094</v>
      </c>
      <c r="I27" s="72"/>
      <c r="J27" s="126" t="s">
        <v>159</v>
      </c>
      <c r="K27" s="71" t="s">
        <v>1094</v>
      </c>
      <c r="L27" s="127">
        <v>1</v>
      </c>
      <c r="M27" s="76">
        <v>8793.306640625</v>
      </c>
      <c r="N27" s="76">
        <v>6473.3408203125</v>
      </c>
      <c r="O27" s="77"/>
      <c r="P27" s="78"/>
      <c r="Q27" s="78"/>
      <c r="R27" s="128"/>
      <c r="S27" s="48">
        <v>0</v>
      </c>
      <c r="T27" s="48">
        <v>1</v>
      </c>
      <c r="U27" s="49">
        <v>0</v>
      </c>
      <c r="V27" s="49">
        <v>0.002674</v>
      </c>
      <c r="W27" s="49">
        <v>0.002547</v>
      </c>
      <c r="X27" s="49">
        <v>0.493653</v>
      </c>
      <c r="Y27" s="49">
        <v>0</v>
      </c>
      <c r="Z27" s="49">
        <v>0</v>
      </c>
      <c r="AA27" s="73">
        <v>27</v>
      </c>
      <c r="AB27" s="73"/>
      <c r="AC27" s="74"/>
      <c r="AD27" s="90" t="s">
        <v>1094</v>
      </c>
      <c r="AE27" s="90"/>
      <c r="AF27" s="90"/>
      <c r="AG27" s="90"/>
      <c r="AH27" s="90"/>
      <c r="AI27" s="90"/>
      <c r="AJ27" s="96">
        <v>40745.749930555554</v>
      </c>
      <c r="AK27" s="93" t="str">
        <f>HYPERLINK("https://yt3.ggpht.com/a/AATXAJz2WvUzxHM7munK8ZoqRvu71JsC-QqSg0AF-Q=s88-c-k-c0xffffffff-no-rj-mo")</f>
        <v>https://yt3.ggpht.com/a/AATXAJz2WvUzxHM7munK8ZoqRvu71JsC-QqSg0AF-Q=s88-c-k-c0xffffffff-no-rj-mo</v>
      </c>
      <c r="AL27" s="90">
        <v>0</v>
      </c>
      <c r="AM27" s="90">
        <v>0</v>
      </c>
      <c r="AN27" s="90">
        <v>4</v>
      </c>
      <c r="AO27" s="90" t="b">
        <v>0</v>
      </c>
      <c r="AP27" s="90">
        <v>0</v>
      </c>
      <c r="AQ27" s="90"/>
      <c r="AR27" s="90"/>
      <c r="AS27" s="90" t="s">
        <v>341</v>
      </c>
      <c r="AT27" s="93" t="str">
        <f>HYPERLINK("https://www.youtube.com/channel/UCRNjXS-Xvgsjau1kpPWOtIw")</f>
        <v>https://www.youtube.com/channel/UCRNjXS-Xvgsjau1kpPWOtIw</v>
      </c>
      <c r="AU27" s="89" t="str">
        <f>REPLACE(INDEX(GroupVertices[Group],MATCH(Vertices[[#This Row],[Vertex]],GroupVertices[Vertex],0)),1,1,"")</f>
        <v>5</v>
      </c>
      <c r="AV27" s="48">
        <v>0</v>
      </c>
      <c r="AW27" s="49">
        <v>0</v>
      </c>
      <c r="AX27" s="48">
        <v>2</v>
      </c>
      <c r="AY27" s="49">
        <v>28.571428571428573</v>
      </c>
      <c r="AZ27" s="48">
        <v>0</v>
      </c>
      <c r="BA27" s="49">
        <v>0</v>
      </c>
      <c r="BB27" s="48">
        <v>5</v>
      </c>
      <c r="BC27" s="49">
        <v>71.42857142857143</v>
      </c>
      <c r="BD27" s="48">
        <v>7</v>
      </c>
      <c r="BE27" s="48"/>
      <c r="BF27" s="48"/>
      <c r="BG27" s="48"/>
      <c r="BH27" s="48"/>
      <c r="BI27" s="48"/>
      <c r="BJ27" s="48"/>
      <c r="BK27" s="48" t="s">
        <v>686</v>
      </c>
      <c r="BL27" s="48" t="s">
        <v>686</v>
      </c>
      <c r="BM27" s="119" t="s">
        <v>1414</v>
      </c>
      <c r="BN27" s="119" t="s">
        <v>1414</v>
      </c>
      <c r="BO27" s="119" t="s">
        <v>1533</v>
      </c>
      <c r="BP27" s="119" t="s">
        <v>1533</v>
      </c>
      <c r="BQ27" s="2"/>
      <c r="BR27" s="3"/>
      <c r="BS27" s="3"/>
      <c r="BT27" s="3"/>
      <c r="BU27" s="3"/>
    </row>
    <row r="28" spans="1:73" ht="15">
      <c r="A28" s="66" t="s">
        <v>788</v>
      </c>
      <c r="B28" s="67"/>
      <c r="C28" s="67"/>
      <c r="D28" s="68">
        <v>200</v>
      </c>
      <c r="E28" s="124"/>
      <c r="F28" s="98" t="str">
        <f>HYPERLINK("https://yt3.ggpht.com/a/AATXAJy0pWmccXy6GGvjnWiOHm7wPgFWLeisyS-DiQ=s88-c-k-c0xffffffff-no-rj-mo")</f>
        <v>https://yt3.ggpht.com/a/AATXAJy0pWmccXy6GGvjnWiOHm7wPgFWLeisyS-DiQ=s88-c-k-c0xffffffff-no-rj-mo</v>
      </c>
      <c r="G28" s="125"/>
      <c r="H28" s="71" t="s">
        <v>1095</v>
      </c>
      <c r="I28" s="72"/>
      <c r="J28" s="126" t="s">
        <v>159</v>
      </c>
      <c r="K28" s="71" t="s">
        <v>1095</v>
      </c>
      <c r="L28" s="127">
        <v>1</v>
      </c>
      <c r="M28" s="76">
        <v>7260.42041015625</v>
      </c>
      <c r="N28" s="76">
        <v>8421.111328125</v>
      </c>
      <c r="O28" s="77"/>
      <c r="P28" s="78"/>
      <c r="Q28" s="78"/>
      <c r="R28" s="128"/>
      <c r="S28" s="48">
        <v>0</v>
      </c>
      <c r="T28" s="48">
        <v>1</v>
      </c>
      <c r="U28" s="49">
        <v>0</v>
      </c>
      <c r="V28" s="49">
        <v>0.002674</v>
      </c>
      <c r="W28" s="49">
        <v>0.002547</v>
      </c>
      <c r="X28" s="49">
        <v>0.493653</v>
      </c>
      <c r="Y28" s="49">
        <v>0</v>
      </c>
      <c r="Z28" s="49">
        <v>0</v>
      </c>
      <c r="AA28" s="73">
        <v>28</v>
      </c>
      <c r="AB28" s="73"/>
      <c r="AC28" s="74"/>
      <c r="AD28" s="90" t="s">
        <v>1095</v>
      </c>
      <c r="AE28" s="90" t="s">
        <v>1236</v>
      </c>
      <c r="AF28" s="90"/>
      <c r="AG28" s="90"/>
      <c r="AH28" s="90"/>
      <c r="AI28" s="90"/>
      <c r="AJ28" s="96">
        <v>40919.91442129629</v>
      </c>
      <c r="AK28" s="93" t="str">
        <f>HYPERLINK("https://yt3.ggpht.com/a/AATXAJy0pWmccXy6GGvjnWiOHm7wPgFWLeisyS-DiQ=s88-c-k-c0xffffffff-no-rj-mo")</f>
        <v>https://yt3.ggpht.com/a/AATXAJy0pWmccXy6GGvjnWiOHm7wPgFWLeisyS-DiQ=s88-c-k-c0xffffffff-no-rj-mo</v>
      </c>
      <c r="AL28" s="90">
        <v>0</v>
      </c>
      <c r="AM28" s="90">
        <v>0</v>
      </c>
      <c r="AN28" s="90">
        <v>13</v>
      </c>
      <c r="AO28" s="90" t="b">
        <v>0</v>
      </c>
      <c r="AP28" s="90">
        <v>0</v>
      </c>
      <c r="AQ28" s="90"/>
      <c r="AR28" s="90"/>
      <c r="AS28" s="90" t="s">
        <v>341</v>
      </c>
      <c r="AT28" s="93" t="str">
        <f>HYPERLINK("https://www.youtube.com/channel/UC2bxB4kLFJJgl28Xg749ufQ")</f>
        <v>https://www.youtube.com/channel/UC2bxB4kLFJJgl28Xg749ufQ</v>
      </c>
      <c r="AU28" s="89" t="str">
        <f>REPLACE(INDEX(GroupVertices[Group],MATCH(Vertices[[#This Row],[Vertex]],GroupVertices[Vertex],0)),1,1,"")</f>
        <v>5</v>
      </c>
      <c r="AV28" s="48">
        <v>0</v>
      </c>
      <c r="AW28" s="49">
        <v>0</v>
      </c>
      <c r="AX28" s="48">
        <v>0</v>
      </c>
      <c r="AY28" s="49">
        <v>0</v>
      </c>
      <c r="AZ28" s="48">
        <v>0</v>
      </c>
      <c r="BA28" s="49">
        <v>0</v>
      </c>
      <c r="BB28" s="48">
        <v>11</v>
      </c>
      <c r="BC28" s="49">
        <v>100</v>
      </c>
      <c r="BD28" s="48">
        <v>11</v>
      </c>
      <c r="BE28" s="48"/>
      <c r="BF28" s="48"/>
      <c r="BG28" s="48"/>
      <c r="BH28" s="48"/>
      <c r="BI28" s="48"/>
      <c r="BJ28" s="48"/>
      <c r="BK28" s="48" t="s">
        <v>686</v>
      </c>
      <c r="BL28" s="48" t="s">
        <v>686</v>
      </c>
      <c r="BM28" s="119" t="s">
        <v>411</v>
      </c>
      <c r="BN28" s="119" t="s">
        <v>411</v>
      </c>
      <c r="BO28" s="119" t="s">
        <v>708</v>
      </c>
      <c r="BP28" s="119" t="s">
        <v>708</v>
      </c>
      <c r="BQ28" s="2"/>
      <c r="BR28" s="3"/>
      <c r="BS28" s="3"/>
      <c r="BT28" s="3"/>
      <c r="BU28" s="3"/>
    </row>
    <row r="29" spans="1:73" ht="15">
      <c r="A29" s="66" t="s">
        <v>789</v>
      </c>
      <c r="B29" s="67"/>
      <c r="C29" s="67"/>
      <c r="D29" s="68">
        <v>200</v>
      </c>
      <c r="E29" s="124"/>
      <c r="F29" s="98" t="str">
        <f>HYPERLINK("https://yt3.ggpht.com/a/AATXAJzPt4wzxIBTwkOj-XC0ahg26AtpbjLovoNWOw=s88-c-k-c0xffffffff-no-rj-mo")</f>
        <v>https://yt3.ggpht.com/a/AATXAJzPt4wzxIBTwkOj-XC0ahg26AtpbjLovoNWOw=s88-c-k-c0xffffffff-no-rj-mo</v>
      </c>
      <c r="G29" s="125"/>
      <c r="H29" s="71" t="s">
        <v>1096</v>
      </c>
      <c r="I29" s="72"/>
      <c r="J29" s="126" t="s">
        <v>159</v>
      </c>
      <c r="K29" s="71" t="s">
        <v>1096</v>
      </c>
      <c r="L29" s="127">
        <v>1</v>
      </c>
      <c r="M29" s="76">
        <v>7629.14794921875</v>
      </c>
      <c r="N29" s="76">
        <v>9367.931640625</v>
      </c>
      <c r="O29" s="77"/>
      <c r="P29" s="78"/>
      <c r="Q29" s="78"/>
      <c r="R29" s="128"/>
      <c r="S29" s="48">
        <v>0</v>
      </c>
      <c r="T29" s="48">
        <v>1</v>
      </c>
      <c r="U29" s="49">
        <v>0</v>
      </c>
      <c r="V29" s="49">
        <v>0.002674</v>
      </c>
      <c r="W29" s="49">
        <v>0.002547</v>
      </c>
      <c r="X29" s="49">
        <v>0.493653</v>
      </c>
      <c r="Y29" s="49">
        <v>0</v>
      </c>
      <c r="Z29" s="49">
        <v>0</v>
      </c>
      <c r="AA29" s="73">
        <v>29</v>
      </c>
      <c r="AB29" s="73"/>
      <c r="AC29" s="74"/>
      <c r="AD29" s="90" t="s">
        <v>1096</v>
      </c>
      <c r="AE29" s="90"/>
      <c r="AF29" s="90"/>
      <c r="AG29" s="90"/>
      <c r="AH29" s="90"/>
      <c r="AI29" s="90"/>
      <c r="AJ29" s="96">
        <v>42116.04922453704</v>
      </c>
      <c r="AK29" s="93" t="str">
        <f>HYPERLINK("https://yt3.ggpht.com/a/AATXAJzPt4wzxIBTwkOj-XC0ahg26AtpbjLovoNWOw=s88-c-k-c0xffffffff-no-rj-mo")</f>
        <v>https://yt3.ggpht.com/a/AATXAJzPt4wzxIBTwkOj-XC0ahg26AtpbjLovoNWOw=s88-c-k-c0xffffffff-no-rj-mo</v>
      </c>
      <c r="AL29" s="90">
        <v>0</v>
      </c>
      <c r="AM29" s="90">
        <v>0</v>
      </c>
      <c r="AN29" s="90">
        <v>0</v>
      </c>
      <c r="AO29" s="90" t="b">
        <v>0</v>
      </c>
      <c r="AP29" s="90">
        <v>0</v>
      </c>
      <c r="AQ29" s="90"/>
      <c r="AR29" s="90"/>
      <c r="AS29" s="90" t="s">
        <v>341</v>
      </c>
      <c r="AT29" s="93" t="str">
        <f>HYPERLINK("https://www.youtube.com/channel/UCyTcGBoN5yg6tR0luGdGE1w")</f>
        <v>https://www.youtube.com/channel/UCyTcGBoN5yg6tR0luGdGE1w</v>
      </c>
      <c r="AU29" s="89" t="str">
        <f>REPLACE(INDEX(GroupVertices[Group],MATCH(Vertices[[#This Row],[Vertex]],GroupVertices[Vertex],0)),1,1,"")</f>
        <v>5</v>
      </c>
      <c r="AV29" s="48">
        <v>0</v>
      </c>
      <c r="AW29" s="49">
        <v>0</v>
      </c>
      <c r="AX29" s="48">
        <v>0</v>
      </c>
      <c r="AY29" s="49">
        <v>0</v>
      </c>
      <c r="AZ29" s="48">
        <v>0</v>
      </c>
      <c r="BA29" s="49">
        <v>0</v>
      </c>
      <c r="BB29" s="48">
        <v>11</v>
      </c>
      <c r="BC29" s="49">
        <v>100</v>
      </c>
      <c r="BD29" s="48">
        <v>11</v>
      </c>
      <c r="BE29" s="48"/>
      <c r="BF29" s="48"/>
      <c r="BG29" s="48"/>
      <c r="BH29" s="48"/>
      <c r="BI29" s="48"/>
      <c r="BJ29" s="48"/>
      <c r="BK29" s="48" t="s">
        <v>686</v>
      </c>
      <c r="BL29" s="48" t="s">
        <v>686</v>
      </c>
      <c r="BM29" s="119" t="s">
        <v>1415</v>
      </c>
      <c r="BN29" s="119" t="s">
        <v>1415</v>
      </c>
      <c r="BO29" s="119" t="s">
        <v>1534</v>
      </c>
      <c r="BP29" s="119" t="s">
        <v>1534</v>
      </c>
      <c r="BQ29" s="2"/>
      <c r="BR29" s="3"/>
      <c r="BS29" s="3"/>
      <c r="BT29" s="3"/>
      <c r="BU29" s="3"/>
    </row>
    <row r="30" spans="1:73" ht="15">
      <c r="A30" s="66" t="s">
        <v>790</v>
      </c>
      <c r="B30" s="67"/>
      <c r="C30" s="67"/>
      <c r="D30" s="68">
        <v>200</v>
      </c>
      <c r="E30" s="124"/>
      <c r="F30" s="98" t="str">
        <f>HYPERLINK("https://yt3.ggpht.com/a/AATXAJzeougeycbP5hRJkHyr_KEkpeUVCLmgExpUefM3=s88-c-k-c0xffffffff-no-rj-mo")</f>
        <v>https://yt3.ggpht.com/a/AATXAJzeougeycbP5hRJkHyr_KEkpeUVCLmgExpUefM3=s88-c-k-c0xffffffff-no-rj-mo</v>
      </c>
      <c r="G30" s="125"/>
      <c r="H30" s="71" t="s">
        <v>1097</v>
      </c>
      <c r="I30" s="72"/>
      <c r="J30" s="126" t="s">
        <v>159</v>
      </c>
      <c r="K30" s="71" t="s">
        <v>1097</v>
      </c>
      <c r="L30" s="127">
        <v>1</v>
      </c>
      <c r="M30" s="76">
        <v>8359.8828125</v>
      </c>
      <c r="N30" s="76">
        <v>9754.8037109375</v>
      </c>
      <c r="O30" s="77"/>
      <c r="P30" s="78"/>
      <c r="Q30" s="78"/>
      <c r="R30" s="128"/>
      <c r="S30" s="48">
        <v>0</v>
      </c>
      <c r="T30" s="48">
        <v>1</v>
      </c>
      <c r="U30" s="49">
        <v>0</v>
      </c>
      <c r="V30" s="49">
        <v>0.002674</v>
      </c>
      <c r="W30" s="49">
        <v>0.002547</v>
      </c>
      <c r="X30" s="49">
        <v>0.493653</v>
      </c>
      <c r="Y30" s="49">
        <v>0</v>
      </c>
      <c r="Z30" s="49">
        <v>0</v>
      </c>
      <c r="AA30" s="73">
        <v>30</v>
      </c>
      <c r="AB30" s="73"/>
      <c r="AC30" s="74"/>
      <c r="AD30" s="90" t="s">
        <v>1097</v>
      </c>
      <c r="AE30" s="90"/>
      <c r="AF30" s="90"/>
      <c r="AG30" s="90"/>
      <c r="AH30" s="90"/>
      <c r="AI30" s="90"/>
      <c r="AJ30" s="96">
        <v>39889.211550925924</v>
      </c>
      <c r="AK30" s="93" t="str">
        <f>HYPERLINK("https://yt3.ggpht.com/a/AATXAJzeougeycbP5hRJkHyr_KEkpeUVCLmgExpUefM3=s88-c-k-c0xffffffff-no-rj-mo")</f>
        <v>https://yt3.ggpht.com/a/AATXAJzeougeycbP5hRJkHyr_KEkpeUVCLmgExpUefM3=s88-c-k-c0xffffffff-no-rj-mo</v>
      </c>
      <c r="AL30" s="90">
        <v>243</v>
      </c>
      <c r="AM30" s="90">
        <v>0</v>
      </c>
      <c r="AN30" s="90">
        <v>7</v>
      </c>
      <c r="AO30" s="90" t="b">
        <v>0</v>
      </c>
      <c r="AP30" s="90">
        <v>1</v>
      </c>
      <c r="AQ30" s="90"/>
      <c r="AR30" s="90"/>
      <c r="AS30" s="90" t="s">
        <v>341</v>
      </c>
      <c r="AT30" s="93" t="str">
        <f>HYPERLINK("https://www.youtube.com/channel/UC86XgDGeeokFIkMDP3shLaQ")</f>
        <v>https://www.youtube.com/channel/UC86XgDGeeokFIkMDP3shLaQ</v>
      </c>
      <c r="AU30" s="89" t="str">
        <f>REPLACE(INDEX(GroupVertices[Group],MATCH(Vertices[[#This Row],[Vertex]],GroupVertices[Vertex],0)),1,1,"")</f>
        <v>5</v>
      </c>
      <c r="AV30" s="48">
        <v>0</v>
      </c>
      <c r="AW30" s="49">
        <v>0</v>
      </c>
      <c r="AX30" s="48">
        <v>2</v>
      </c>
      <c r="AY30" s="49">
        <v>20</v>
      </c>
      <c r="AZ30" s="48">
        <v>0</v>
      </c>
      <c r="BA30" s="49">
        <v>0</v>
      </c>
      <c r="BB30" s="48">
        <v>8</v>
      </c>
      <c r="BC30" s="49">
        <v>80</v>
      </c>
      <c r="BD30" s="48">
        <v>10</v>
      </c>
      <c r="BE30" s="48"/>
      <c r="BF30" s="48"/>
      <c r="BG30" s="48"/>
      <c r="BH30" s="48"/>
      <c r="BI30" s="48"/>
      <c r="BJ30" s="48"/>
      <c r="BK30" s="48" t="s">
        <v>686</v>
      </c>
      <c r="BL30" s="48" t="s">
        <v>686</v>
      </c>
      <c r="BM30" s="119" t="s">
        <v>1416</v>
      </c>
      <c r="BN30" s="119" t="s">
        <v>1416</v>
      </c>
      <c r="BO30" s="119" t="s">
        <v>1535</v>
      </c>
      <c r="BP30" s="119" t="s">
        <v>1535</v>
      </c>
      <c r="BQ30" s="2"/>
      <c r="BR30" s="3"/>
      <c r="BS30" s="3"/>
      <c r="BT30" s="3"/>
      <c r="BU30" s="3"/>
    </row>
    <row r="31" spans="1:73" ht="15">
      <c r="A31" s="66" t="s">
        <v>792</v>
      </c>
      <c r="B31" s="67"/>
      <c r="C31" s="67"/>
      <c r="D31" s="68">
        <v>200</v>
      </c>
      <c r="E31" s="124"/>
      <c r="F31" s="98" t="str">
        <f>HYPERLINK("https://yt3.ggpht.com/a/AATXAJwjhgzC8AQYwPph08ezft1gYeQtk-ISxBeDnw=s88-c-k-c0xffffffff-no-rj-mo")</f>
        <v>https://yt3.ggpht.com/a/AATXAJwjhgzC8AQYwPph08ezft1gYeQtk-ISxBeDnw=s88-c-k-c0xffffffff-no-rj-mo</v>
      </c>
      <c r="G31" s="125"/>
      <c r="H31" s="71" t="s">
        <v>1099</v>
      </c>
      <c r="I31" s="72"/>
      <c r="J31" s="126" t="s">
        <v>159</v>
      </c>
      <c r="K31" s="71" t="s">
        <v>1099</v>
      </c>
      <c r="L31" s="127">
        <v>1</v>
      </c>
      <c r="M31" s="76">
        <v>500.393798828125</v>
      </c>
      <c r="N31" s="76">
        <v>8720.6142578125</v>
      </c>
      <c r="O31" s="77"/>
      <c r="P31" s="78"/>
      <c r="Q31" s="78"/>
      <c r="R31" s="128"/>
      <c r="S31" s="48">
        <v>0</v>
      </c>
      <c r="T31" s="48">
        <v>1</v>
      </c>
      <c r="U31" s="49">
        <v>0</v>
      </c>
      <c r="V31" s="49">
        <v>0.002538</v>
      </c>
      <c r="W31" s="49">
        <v>0.001633</v>
      </c>
      <c r="X31" s="49">
        <v>0.500973</v>
      </c>
      <c r="Y31" s="49">
        <v>0</v>
      </c>
      <c r="Z31" s="49">
        <v>0</v>
      </c>
      <c r="AA31" s="73">
        <v>31</v>
      </c>
      <c r="AB31" s="73"/>
      <c r="AC31" s="74"/>
      <c r="AD31" s="90" t="s">
        <v>1099</v>
      </c>
      <c r="AE31" s="90" t="s">
        <v>1237</v>
      </c>
      <c r="AF31" s="90"/>
      <c r="AG31" s="90"/>
      <c r="AH31" s="90"/>
      <c r="AI31" s="90"/>
      <c r="AJ31" s="96">
        <v>38967.06700231481</v>
      </c>
      <c r="AK31" s="93" t="str">
        <f>HYPERLINK("https://yt3.ggpht.com/a/AATXAJwjhgzC8AQYwPph08ezft1gYeQtk-ISxBeDnw=s88-c-k-c0xffffffff-no-rj-mo")</f>
        <v>https://yt3.ggpht.com/a/AATXAJwjhgzC8AQYwPph08ezft1gYeQtk-ISxBeDnw=s88-c-k-c0xffffffff-no-rj-mo</v>
      </c>
      <c r="AL31" s="90">
        <v>731632</v>
      </c>
      <c r="AM31" s="90">
        <v>0</v>
      </c>
      <c r="AN31" s="90">
        <v>288</v>
      </c>
      <c r="AO31" s="90" t="b">
        <v>0</v>
      </c>
      <c r="AP31" s="90">
        <v>40</v>
      </c>
      <c r="AQ31" s="90"/>
      <c r="AR31" s="90"/>
      <c r="AS31" s="90" t="s">
        <v>341</v>
      </c>
      <c r="AT31" s="93" t="str">
        <f>HYPERLINK("https://www.youtube.com/channel/UCoWqIAlBNV5YVv_KUziEPpg")</f>
        <v>https://www.youtube.com/channel/UCoWqIAlBNV5YVv_KUziEPpg</v>
      </c>
      <c r="AU31" s="89" t="str">
        <f>REPLACE(INDEX(GroupVertices[Group],MATCH(Vertices[[#This Row],[Vertex]],GroupVertices[Vertex],0)),1,1,"")</f>
        <v>1</v>
      </c>
      <c r="AV31" s="48">
        <v>1</v>
      </c>
      <c r="AW31" s="49">
        <v>20</v>
      </c>
      <c r="AX31" s="48">
        <v>0</v>
      </c>
      <c r="AY31" s="49">
        <v>0</v>
      </c>
      <c r="AZ31" s="48">
        <v>0</v>
      </c>
      <c r="BA31" s="49">
        <v>0</v>
      </c>
      <c r="BB31" s="48">
        <v>4</v>
      </c>
      <c r="BC31" s="49">
        <v>80</v>
      </c>
      <c r="BD31" s="48">
        <v>5</v>
      </c>
      <c r="BE31" s="48"/>
      <c r="BF31" s="48"/>
      <c r="BG31" s="48"/>
      <c r="BH31" s="48"/>
      <c r="BI31" s="48"/>
      <c r="BJ31" s="48"/>
      <c r="BK31" s="48" t="s">
        <v>1347</v>
      </c>
      <c r="BL31" s="48" t="s">
        <v>1347</v>
      </c>
      <c r="BM31" s="119" t="s">
        <v>1417</v>
      </c>
      <c r="BN31" s="119" t="s">
        <v>1417</v>
      </c>
      <c r="BO31" s="119" t="s">
        <v>1536</v>
      </c>
      <c r="BP31" s="119" t="s">
        <v>1536</v>
      </c>
      <c r="BQ31" s="2"/>
      <c r="BR31" s="3"/>
      <c r="BS31" s="3"/>
      <c r="BT31" s="3"/>
      <c r="BU31" s="3"/>
    </row>
    <row r="32" spans="1:73" ht="15">
      <c r="A32" s="66" t="s">
        <v>793</v>
      </c>
      <c r="B32" s="67"/>
      <c r="C32" s="67"/>
      <c r="D32" s="68">
        <v>360</v>
      </c>
      <c r="E32" s="124"/>
      <c r="F32" s="98" t="str">
        <f>HYPERLINK("https://yt3.ggpht.com/a/AATXAJwwrJ4fZ0-rJTuK7UJoYcAm0faxbVPAGk8QqA=s88-c-k-c0xffffffff-no-rj-mo")</f>
        <v>https://yt3.ggpht.com/a/AATXAJwwrJ4fZ0-rJTuK7UJoYcAm0faxbVPAGk8QqA=s88-c-k-c0xffffffff-no-rj-mo</v>
      </c>
      <c r="G32" s="125"/>
      <c r="H32" s="71" t="s">
        <v>1100</v>
      </c>
      <c r="I32" s="72"/>
      <c r="J32" s="126" t="s">
        <v>75</v>
      </c>
      <c r="K32" s="71" t="s">
        <v>1100</v>
      </c>
      <c r="L32" s="127">
        <v>239.04761904761904</v>
      </c>
      <c r="M32" s="76">
        <v>1294.545166015625</v>
      </c>
      <c r="N32" s="76">
        <v>7661.61572265625</v>
      </c>
      <c r="O32" s="77"/>
      <c r="P32" s="78"/>
      <c r="Q32" s="78"/>
      <c r="R32" s="128"/>
      <c r="S32" s="48">
        <v>1</v>
      </c>
      <c r="T32" s="48">
        <v>1</v>
      </c>
      <c r="U32" s="49">
        <v>218</v>
      </c>
      <c r="V32" s="49">
        <v>0.003509</v>
      </c>
      <c r="W32" s="49">
        <v>0.012221</v>
      </c>
      <c r="X32" s="49">
        <v>0.825821</v>
      </c>
      <c r="Y32" s="49">
        <v>0</v>
      </c>
      <c r="Z32" s="49">
        <v>0</v>
      </c>
      <c r="AA32" s="73">
        <v>32</v>
      </c>
      <c r="AB32" s="73"/>
      <c r="AC32" s="74"/>
      <c r="AD32" s="90" t="s">
        <v>1100</v>
      </c>
      <c r="AE32" s="90"/>
      <c r="AF32" s="90"/>
      <c r="AG32" s="90"/>
      <c r="AH32" s="90"/>
      <c r="AI32" s="90"/>
      <c r="AJ32" s="96">
        <v>43151.863854166666</v>
      </c>
      <c r="AK32" s="93" t="str">
        <f>HYPERLINK("https://yt3.ggpht.com/a/AATXAJwwrJ4fZ0-rJTuK7UJoYcAm0faxbVPAGk8QqA=s88-c-k-c0xffffffff-no-rj-mo")</f>
        <v>https://yt3.ggpht.com/a/AATXAJwwrJ4fZ0-rJTuK7UJoYcAm0faxbVPAGk8QqA=s88-c-k-c0xffffffff-no-rj-mo</v>
      </c>
      <c r="AL32" s="90">
        <v>0</v>
      </c>
      <c r="AM32" s="90">
        <v>0</v>
      </c>
      <c r="AN32" s="90">
        <v>1</v>
      </c>
      <c r="AO32" s="90" t="b">
        <v>0</v>
      </c>
      <c r="AP32" s="90">
        <v>0</v>
      </c>
      <c r="AQ32" s="90"/>
      <c r="AR32" s="90"/>
      <c r="AS32" s="90" t="s">
        <v>341</v>
      </c>
      <c r="AT32" s="93" t="str">
        <f>HYPERLINK("https://www.youtube.com/channel/UCvjWMupg9Kuzj-JBpco4L1g")</f>
        <v>https://www.youtube.com/channel/UCvjWMupg9Kuzj-JBpco4L1g</v>
      </c>
      <c r="AU32" s="89" t="str">
        <f>REPLACE(INDEX(GroupVertices[Group],MATCH(Vertices[[#This Row],[Vertex]],GroupVertices[Vertex],0)),1,1,"")</f>
        <v>1</v>
      </c>
      <c r="AV32" s="48">
        <v>0</v>
      </c>
      <c r="AW32" s="49">
        <v>0</v>
      </c>
      <c r="AX32" s="48">
        <v>0</v>
      </c>
      <c r="AY32" s="49">
        <v>0</v>
      </c>
      <c r="AZ32" s="48">
        <v>0</v>
      </c>
      <c r="BA32" s="49">
        <v>0</v>
      </c>
      <c r="BB32" s="48">
        <v>6</v>
      </c>
      <c r="BC32" s="49">
        <v>100</v>
      </c>
      <c r="BD32" s="48">
        <v>6</v>
      </c>
      <c r="BE32" s="48"/>
      <c r="BF32" s="48"/>
      <c r="BG32" s="48"/>
      <c r="BH32" s="48"/>
      <c r="BI32" s="48"/>
      <c r="BJ32" s="48"/>
      <c r="BK32" s="48" t="s">
        <v>1347</v>
      </c>
      <c r="BL32" s="48" t="s">
        <v>1347</v>
      </c>
      <c r="BM32" s="119" t="s">
        <v>1418</v>
      </c>
      <c r="BN32" s="119" t="s">
        <v>1418</v>
      </c>
      <c r="BO32" s="119" t="s">
        <v>1537</v>
      </c>
      <c r="BP32" s="119" t="s">
        <v>1537</v>
      </c>
      <c r="BQ32" s="2"/>
      <c r="BR32" s="3"/>
      <c r="BS32" s="3"/>
      <c r="BT32" s="3"/>
      <c r="BU32" s="3"/>
    </row>
    <row r="33" spans="1:73" ht="15">
      <c r="A33" s="66" t="s">
        <v>794</v>
      </c>
      <c r="B33" s="67"/>
      <c r="C33" s="67"/>
      <c r="D33" s="68">
        <v>360</v>
      </c>
      <c r="E33" s="124"/>
      <c r="F33" s="98" t="str">
        <f>HYPERLINK("https://yt3.ggpht.com/a/AATXAJy7ZLgRQnaAuA97TcpcvEe42x8aNo1TWHOPMhgNnQ=s88-c-k-c0xffffffff-no-rj-mo")</f>
        <v>https://yt3.ggpht.com/a/AATXAJy7ZLgRQnaAuA97TcpcvEe42x8aNo1TWHOPMhgNnQ=s88-c-k-c0xffffffff-no-rj-mo</v>
      </c>
      <c r="G33" s="125"/>
      <c r="H33" s="71" t="s">
        <v>1101</v>
      </c>
      <c r="I33" s="72"/>
      <c r="J33" s="126" t="s">
        <v>75</v>
      </c>
      <c r="K33" s="71" t="s">
        <v>1101</v>
      </c>
      <c r="L33" s="127">
        <v>239.04761904761904</v>
      </c>
      <c r="M33" s="76">
        <v>1899.133056640625</v>
      </c>
      <c r="N33" s="76">
        <v>7286.20361328125</v>
      </c>
      <c r="O33" s="77"/>
      <c r="P33" s="78"/>
      <c r="Q33" s="78"/>
      <c r="R33" s="128"/>
      <c r="S33" s="48">
        <v>1</v>
      </c>
      <c r="T33" s="48">
        <v>3</v>
      </c>
      <c r="U33" s="49">
        <v>0</v>
      </c>
      <c r="V33" s="49">
        <v>0.003509</v>
      </c>
      <c r="W33" s="49">
        <v>0.016162</v>
      </c>
      <c r="X33" s="49">
        <v>0.928746</v>
      </c>
      <c r="Y33" s="49">
        <v>0.5</v>
      </c>
      <c r="Z33" s="49">
        <v>0</v>
      </c>
      <c r="AA33" s="73">
        <v>33</v>
      </c>
      <c r="AB33" s="73"/>
      <c r="AC33" s="74"/>
      <c r="AD33" s="90" t="s">
        <v>1101</v>
      </c>
      <c r="AE33" s="90"/>
      <c r="AF33" s="90"/>
      <c r="AG33" s="90"/>
      <c r="AH33" s="90"/>
      <c r="AI33" s="90"/>
      <c r="AJ33" s="96">
        <v>43019.099756944444</v>
      </c>
      <c r="AK33" s="93" t="str">
        <f>HYPERLINK("https://yt3.ggpht.com/a/AATXAJy7ZLgRQnaAuA97TcpcvEe42x8aNo1TWHOPMhgNnQ=s88-c-k-c0xffffffff-no-rj-mo")</f>
        <v>https://yt3.ggpht.com/a/AATXAJy7ZLgRQnaAuA97TcpcvEe42x8aNo1TWHOPMhgNnQ=s88-c-k-c0xffffffff-no-rj-mo</v>
      </c>
      <c r="AL33" s="90">
        <v>0</v>
      </c>
      <c r="AM33" s="90">
        <v>0</v>
      </c>
      <c r="AN33" s="90">
        <v>5</v>
      </c>
      <c r="AO33" s="90" t="b">
        <v>0</v>
      </c>
      <c r="AP33" s="90">
        <v>0</v>
      </c>
      <c r="AQ33" s="90"/>
      <c r="AR33" s="90"/>
      <c r="AS33" s="90" t="s">
        <v>341</v>
      </c>
      <c r="AT33" s="93" t="str">
        <f>HYPERLINK("https://www.youtube.com/channel/UCKPAlKUaoq6_h3rj8AyguRg")</f>
        <v>https://www.youtube.com/channel/UCKPAlKUaoq6_h3rj8AyguRg</v>
      </c>
      <c r="AU33" s="89" t="str">
        <f>REPLACE(INDEX(GroupVertices[Group],MATCH(Vertices[[#This Row],[Vertex]],GroupVertices[Vertex],0)),1,1,"")</f>
        <v>1</v>
      </c>
      <c r="AV33" s="48">
        <v>1</v>
      </c>
      <c r="AW33" s="49">
        <v>1.7857142857142858</v>
      </c>
      <c r="AX33" s="48">
        <v>2</v>
      </c>
      <c r="AY33" s="49">
        <v>3.5714285714285716</v>
      </c>
      <c r="AZ33" s="48">
        <v>0</v>
      </c>
      <c r="BA33" s="49">
        <v>0</v>
      </c>
      <c r="BB33" s="48">
        <v>53</v>
      </c>
      <c r="BC33" s="49">
        <v>94.64285714285714</v>
      </c>
      <c r="BD33" s="48">
        <v>56</v>
      </c>
      <c r="BE33" s="48"/>
      <c r="BF33" s="48"/>
      <c r="BG33" s="48"/>
      <c r="BH33" s="48"/>
      <c r="BI33" s="48"/>
      <c r="BJ33" s="48"/>
      <c r="BK33" s="48" t="s">
        <v>1347</v>
      </c>
      <c r="BL33" s="48" t="s">
        <v>1347</v>
      </c>
      <c r="BM33" s="119" t="s">
        <v>1419</v>
      </c>
      <c r="BN33" s="119" t="s">
        <v>1419</v>
      </c>
      <c r="BO33" s="119" t="s">
        <v>1538</v>
      </c>
      <c r="BP33" s="119" t="s">
        <v>1538</v>
      </c>
      <c r="BQ33" s="2"/>
      <c r="BR33" s="3"/>
      <c r="BS33" s="3"/>
      <c r="BT33" s="3"/>
      <c r="BU33" s="3"/>
    </row>
    <row r="34" spans="1:73" ht="15">
      <c r="A34" s="66" t="s">
        <v>796</v>
      </c>
      <c r="B34" s="67"/>
      <c r="C34" s="67"/>
      <c r="D34" s="68">
        <v>520</v>
      </c>
      <c r="E34" s="124"/>
      <c r="F34" s="98" t="str">
        <f>HYPERLINK("https://yt3.ggpht.com/a/AATXAJw0XudpKeKosmJ2DQSMLLzStwt7YImi3OgZMlki=s88-c-k-c0xffffffff-no-rj-mo")</f>
        <v>https://yt3.ggpht.com/a/AATXAJw0XudpKeKosmJ2DQSMLLzStwt7YImi3OgZMlki=s88-c-k-c0xffffffff-no-rj-mo</v>
      </c>
      <c r="G34" s="125"/>
      <c r="H34" s="71" t="s">
        <v>1103</v>
      </c>
      <c r="I34" s="72"/>
      <c r="J34" s="126" t="s">
        <v>75</v>
      </c>
      <c r="K34" s="71" t="s">
        <v>1103</v>
      </c>
      <c r="L34" s="127">
        <v>477.0952380952381</v>
      </c>
      <c r="M34" s="76">
        <v>2365.721923828125</v>
      </c>
      <c r="N34" s="76">
        <v>7413.50634765625</v>
      </c>
      <c r="O34" s="77"/>
      <c r="P34" s="78"/>
      <c r="Q34" s="78"/>
      <c r="R34" s="128"/>
      <c r="S34" s="48">
        <v>2</v>
      </c>
      <c r="T34" s="48">
        <v>1</v>
      </c>
      <c r="U34" s="49">
        <v>66.666667</v>
      </c>
      <c r="V34" s="49">
        <v>0.003521</v>
      </c>
      <c r="W34" s="49">
        <v>0.014963</v>
      </c>
      <c r="X34" s="49">
        <v>0.937442</v>
      </c>
      <c r="Y34" s="49">
        <v>0.16666666666666666</v>
      </c>
      <c r="Z34" s="49">
        <v>0</v>
      </c>
      <c r="AA34" s="73">
        <v>34</v>
      </c>
      <c r="AB34" s="73"/>
      <c r="AC34" s="74"/>
      <c r="AD34" s="90" t="s">
        <v>1103</v>
      </c>
      <c r="AE34" s="90" t="s">
        <v>1238</v>
      </c>
      <c r="AF34" s="90"/>
      <c r="AG34" s="90"/>
      <c r="AH34" s="90"/>
      <c r="AI34" s="90" t="s">
        <v>1248</v>
      </c>
      <c r="AJ34" s="96">
        <v>39293.49119212963</v>
      </c>
      <c r="AK34" s="93" t="str">
        <f>HYPERLINK("https://yt3.ggpht.com/a/AATXAJw0XudpKeKosmJ2DQSMLLzStwt7YImi3OgZMlki=s88-c-k-c0xffffffff-no-rj-mo")</f>
        <v>https://yt3.ggpht.com/a/AATXAJw0XudpKeKosmJ2DQSMLLzStwt7YImi3OgZMlki=s88-c-k-c0xffffffff-no-rj-mo</v>
      </c>
      <c r="AL34" s="90">
        <v>816887</v>
      </c>
      <c r="AM34" s="90">
        <v>0</v>
      </c>
      <c r="AN34" s="90">
        <v>2030</v>
      </c>
      <c r="AO34" s="90" t="b">
        <v>0</v>
      </c>
      <c r="AP34" s="90">
        <v>28</v>
      </c>
      <c r="AQ34" s="90"/>
      <c r="AR34" s="90"/>
      <c r="AS34" s="90" t="s">
        <v>341</v>
      </c>
      <c r="AT34" s="93" t="str">
        <f>HYPERLINK("https://www.youtube.com/channel/UCI4AiCGAZDk7M_ecuqxNxNA")</f>
        <v>https://www.youtube.com/channel/UCI4AiCGAZDk7M_ecuqxNxNA</v>
      </c>
      <c r="AU34" s="89" t="str">
        <f>REPLACE(INDEX(GroupVertices[Group],MATCH(Vertices[[#This Row],[Vertex]],GroupVertices[Vertex],0)),1,1,"")</f>
        <v>1</v>
      </c>
      <c r="AV34" s="48">
        <v>0</v>
      </c>
      <c r="AW34" s="49">
        <v>0</v>
      </c>
      <c r="AX34" s="48">
        <v>0</v>
      </c>
      <c r="AY34" s="49">
        <v>0</v>
      </c>
      <c r="AZ34" s="48">
        <v>0</v>
      </c>
      <c r="BA34" s="49">
        <v>0</v>
      </c>
      <c r="BB34" s="48">
        <v>29</v>
      </c>
      <c r="BC34" s="49">
        <v>100</v>
      </c>
      <c r="BD34" s="48">
        <v>29</v>
      </c>
      <c r="BE34" s="48"/>
      <c r="BF34" s="48"/>
      <c r="BG34" s="48"/>
      <c r="BH34" s="48"/>
      <c r="BI34" s="48"/>
      <c r="BJ34" s="48"/>
      <c r="BK34" s="48" t="s">
        <v>1347</v>
      </c>
      <c r="BL34" s="48" t="s">
        <v>1347</v>
      </c>
      <c r="BM34" s="119" t="s">
        <v>1420</v>
      </c>
      <c r="BN34" s="119" t="s">
        <v>1420</v>
      </c>
      <c r="BO34" s="119" t="s">
        <v>1539</v>
      </c>
      <c r="BP34" s="119" t="s">
        <v>1539</v>
      </c>
      <c r="BQ34" s="2"/>
      <c r="BR34" s="3"/>
      <c r="BS34" s="3"/>
      <c r="BT34" s="3"/>
      <c r="BU34" s="3"/>
    </row>
    <row r="35" spans="1:73" ht="15">
      <c r="A35" s="66" t="s">
        <v>795</v>
      </c>
      <c r="B35" s="67"/>
      <c r="C35" s="67"/>
      <c r="D35" s="68">
        <v>200</v>
      </c>
      <c r="E35" s="124"/>
      <c r="F35" s="98" t="str">
        <f>HYPERLINK("https://yt3.ggpht.com/a/AATXAJwnx97jCrRORDhOyBkMyWd1Bn7cPzShA077Thr1IQ=s88-c-k-c0xffffffff-no-rj-mo")</f>
        <v>https://yt3.ggpht.com/a/AATXAJwnx97jCrRORDhOyBkMyWd1Bn7cPzShA077Thr1IQ=s88-c-k-c0xffffffff-no-rj-mo</v>
      </c>
      <c r="G35" s="125"/>
      <c r="H35" s="71" t="s">
        <v>1102</v>
      </c>
      <c r="I35" s="72"/>
      <c r="J35" s="126" t="s">
        <v>159</v>
      </c>
      <c r="K35" s="71" t="s">
        <v>1102</v>
      </c>
      <c r="L35" s="127">
        <v>1</v>
      </c>
      <c r="M35" s="76">
        <v>2907.252197265625</v>
      </c>
      <c r="N35" s="76">
        <v>8950.9560546875</v>
      </c>
      <c r="O35" s="77"/>
      <c r="P35" s="78"/>
      <c r="Q35" s="78"/>
      <c r="R35" s="128"/>
      <c r="S35" s="48">
        <v>0</v>
      </c>
      <c r="T35" s="48">
        <v>3</v>
      </c>
      <c r="U35" s="49">
        <v>3</v>
      </c>
      <c r="V35" s="49">
        <v>0.002632</v>
      </c>
      <c r="W35" s="49">
        <v>0.005992</v>
      </c>
      <c r="X35" s="49">
        <v>0.968132</v>
      </c>
      <c r="Y35" s="49">
        <v>0</v>
      </c>
      <c r="Z35" s="49">
        <v>0</v>
      </c>
      <c r="AA35" s="73">
        <v>35</v>
      </c>
      <c r="AB35" s="73"/>
      <c r="AC35" s="74"/>
      <c r="AD35" s="90" t="s">
        <v>1102</v>
      </c>
      <c r="AE35" s="90" t="s">
        <v>1239</v>
      </c>
      <c r="AF35" s="90"/>
      <c r="AG35" s="90"/>
      <c r="AH35" s="90"/>
      <c r="AI35" s="90"/>
      <c r="AJ35" s="96">
        <v>40764.10203703704</v>
      </c>
      <c r="AK35" s="93" t="str">
        <f>HYPERLINK("https://yt3.ggpht.com/a/AATXAJwnx97jCrRORDhOyBkMyWd1Bn7cPzShA077Thr1IQ=s88-c-k-c0xffffffff-no-rj-mo")</f>
        <v>https://yt3.ggpht.com/a/AATXAJwnx97jCrRORDhOyBkMyWd1Bn7cPzShA077Thr1IQ=s88-c-k-c0xffffffff-no-rj-mo</v>
      </c>
      <c r="AL35" s="90">
        <v>1579438</v>
      </c>
      <c r="AM35" s="90">
        <v>0</v>
      </c>
      <c r="AN35" s="90">
        <v>712</v>
      </c>
      <c r="AO35" s="90" t="b">
        <v>0</v>
      </c>
      <c r="AP35" s="90">
        <v>19</v>
      </c>
      <c r="AQ35" s="90"/>
      <c r="AR35" s="90"/>
      <c r="AS35" s="90" t="s">
        <v>341</v>
      </c>
      <c r="AT35" s="93" t="str">
        <f>HYPERLINK("https://www.youtube.com/channel/UCwLvX1xSEvRJ0HxWIRIu6-g")</f>
        <v>https://www.youtube.com/channel/UCwLvX1xSEvRJ0HxWIRIu6-g</v>
      </c>
      <c r="AU35" s="89" t="str">
        <f>REPLACE(INDEX(GroupVertices[Group],MATCH(Vertices[[#This Row],[Vertex]],GroupVertices[Vertex],0)),1,1,"")</f>
        <v>1</v>
      </c>
      <c r="AV35" s="48">
        <v>3</v>
      </c>
      <c r="AW35" s="49">
        <v>1.3274336283185841</v>
      </c>
      <c r="AX35" s="48">
        <v>12</v>
      </c>
      <c r="AY35" s="49">
        <v>5.3097345132743365</v>
      </c>
      <c r="AZ35" s="48">
        <v>0</v>
      </c>
      <c r="BA35" s="49">
        <v>0</v>
      </c>
      <c r="BB35" s="48">
        <v>211</v>
      </c>
      <c r="BC35" s="49">
        <v>93.36283185840708</v>
      </c>
      <c r="BD35" s="48">
        <v>226</v>
      </c>
      <c r="BE35" s="48"/>
      <c r="BF35" s="48"/>
      <c r="BG35" s="48"/>
      <c r="BH35" s="48"/>
      <c r="BI35" s="48"/>
      <c r="BJ35" s="48"/>
      <c r="BK35" s="48" t="s">
        <v>1347</v>
      </c>
      <c r="BL35" s="48" t="s">
        <v>1347</v>
      </c>
      <c r="BM35" s="119" t="s">
        <v>1421</v>
      </c>
      <c r="BN35" s="119" t="s">
        <v>1421</v>
      </c>
      <c r="BO35" s="119" t="s">
        <v>1540</v>
      </c>
      <c r="BP35" s="119" t="s">
        <v>1540</v>
      </c>
      <c r="BQ35" s="2"/>
      <c r="BR35" s="3"/>
      <c r="BS35" s="3"/>
      <c r="BT35" s="3"/>
      <c r="BU35" s="3"/>
    </row>
    <row r="36" spans="1:73" ht="15">
      <c r="A36" s="66" t="s">
        <v>797</v>
      </c>
      <c r="B36" s="67"/>
      <c r="C36" s="67"/>
      <c r="D36" s="68">
        <v>200</v>
      </c>
      <c r="E36" s="124"/>
      <c r="F36" s="98" t="str">
        <f>HYPERLINK("https://yt3.ggpht.com/a/AATXAJzmIJCYCf1_9XBVlz7YKj1IbUJHiCPTExSU4Uhiwg=s88-c-k-c0xffffffff-no-rj-mo")</f>
        <v>https://yt3.ggpht.com/a/AATXAJzmIJCYCf1_9XBVlz7YKj1IbUJHiCPTExSU4Uhiwg=s88-c-k-c0xffffffff-no-rj-mo</v>
      </c>
      <c r="G36" s="125"/>
      <c r="H36" s="71" t="s">
        <v>1104</v>
      </c>
      <c r="I36" s="72"/>
      <c r="J36" s="126" t="s">
        <v>159</v>
      </c>
      <c r="K36" s="71" t="s">
        <v>1104</v>
      </c>
      <c r="L36" s="127">
        <v>1</v>
      </c>
      <c r="M36" s="76">
        <v>6941.98095703125</v>
      </c>
      <c r="N36" s="76">
        <v>1497.4112548828125</v>
      </c>
      <c r="O36" s="77"/>
      <c r="P36" s="78"/>
      <c r="Q36" s="78"/>
      <c r="R36" s="128"/>
      <c r="S36" s="48">
        <v>0</v>
      </c>
      <c r="T36" s="48">
        <v>1</v>
      </c>
      <c r="U36" s="49">
        <v>0</v>
      </c>
      <c r="V36" s="49">
        <v>0.002604</v>
      </c>
      <c r="W36" s="49">
        <v>0.002247</v>
      </c>
      <c r="X36" s="49">
        <v>0.437422</v>
      </c>
      <c r="Y36" s="49">
        <v>0</v>
      </c>
      <c r="Z36" s="49">
        <v>0</v>
      </c>
      <c r="AA36" s="73">
        <v>36</v>
      </c>
      <c r="AB36" s="73"/>
      <c r="AC36" s="74"/>
      <c r="AD36" s="90" t="s">
        <v>1104</v>
      </c>
      <c r="AE36" s="90"/>
      <c r="AF36" s="90"/>
      <c r="AG36" s="90"/>
      <c r="AH36" s="90"/>
      <c r="AI36" s="90"/>
      <c r="AJ36" s="96">
        <v>41900.10741898148</v>
      </c>
      <c r="AK36" s="93" t="str">
        <f>HYPERLINK("https://yt3.ggpht.com/a/AATXAJzmIJCYCf1_9XBVlz7YKj1IbUJHiCPTExSU4Uhiwg=s88-c-k-c0xffffffff-no-rj-mo")</f>
        <v>https://yt3.ggpht.com/a/AATXAJzmIJCYCf1_9XBVlz7YKj1IbUJHiCPTExSU4Uhiwg=s88-c-k-c0xffffffff-no-rj-mo</v>
      </c>
      <c r="AL36" s="90">
        <v>0</v>
      </c>
      <c r="AM36" s="90">
        <v>0</v>
      </c>
      <c r="AN36" s="90">
        <v>1</v>
      </c>
      <c r="AO36" s="90" t="b">
        <v>0</v>
      </c>
      <c r="AP36" s="90">
        <v>0</v>
      </c>
      <c r="AQ36" s="90"/>
      <c r="AR36" s="90"/>
      <c r="AS36" s="90" t="s">
        <v>341</v>
      </c>
      <c r="AT36" s="93" t="str">
        <f>HYPERLINK("https://www.youtube.com/channel/UCxB8kqvB0eNH6ORX6l1yPbg")</f>
        <v>https://www.youtube.com/channel/UCxB8kqvB0eNH6ORX6l1yPbg</v>
      </c>
      <c r="AU36" s="89" t="str">
        <f>REPLACE(INDEX(GroupVertices[Group],MATCH(Vertices[[#This Row],[Vertex]],GroupVertices[Vertex],0)),1,1,"")</f>
        <v>8</v>
      </c>
      <c r="AV36" s="48">
        <v>0</v>
      </c>
      <c r="AW36" s="49">
        <v>0</v>
      </c>
      <c r="AX36" s="48">
        <v>0</v>
      </c>
      <c r="AY36" s="49">
        <v>0</v>
      </c>
      <c r="AZ36" s="48">
        <v>0</v>
      </c>
      <c r="BA36" s="49">
        <v>0</v>
      </c>
      <c r="BB36" s="48">
        <v>10</v>
      </c>
      <c r="BC36" s="49">
        <v>100</v>
      </c>
      <c r="BD36" s="48">
        <v>10</v>
      </c>
      <c r="BE36" s="48"/>
      <c r="BF36" s="48"/>
      <c r="BG36" s="48"/>
      <c r="BH36" s="48"/>
      <c r="BI36" s="48"/>
      <c r="BJ36" s="48"/>
      <c r="BK36" s="48" t="s">
        <v>686</v>
      </c>
      <c r="BL36" s="48" t="s">
        <v>686</v>
      </c>
      <c r="BM36" s="119" t="s">
        <v>1422</v>
      </c>
      <c r="BN36" s="119" t="s">
        <v>1422</v>
      </c>
      <c r="BO36" s="119" t="s">
        <v>1541</v>
      </c>
      <c r="BP36" s="119" t="s">
        <v>1541</v>
      </c>
      <c r="BQ36" s="2"/>
      <c r="BR36" s="3"/>
      <c r="BS36" s="3"/>
      <c r="BT36" s="3"/>
      <c r="BU36" s="3"/>
    </row>
    <row r="37" spans="1:73" ht="15">
      <c r="A37" s="66" t="s">
        <v>802</v>
      </c>
      <c r="B37" s="67"/>
      <c r="C37" s="67"/>
      <c r="D37" s="68">
        <v>1000</v>
      </c>
      <c r="E37" s="124"/>
      <c r="F37" s="98" t="str">
        <f>HYPERLINK("https://yt3.ggpht.com/a/AATXAJz7xak2GGpZg6jd5LC3iRDaFb_4sBVMvN0g4Fhs4Ro=s88-c-k-c0xffffffff-no-rj-mo")</f>
        <v>https://yt3.ggpht.com/a/AATXAJz7xak2GGpZg6jd5LC3iRDaFb_4sBVMvN0g4Fhs4Ro=s88-c-k-c0xffffffff-no-rj-mo</v>
      </c>
      <c r="G37" s="125"/>
      <c r="H37" s="71" t="s">
        <v>1109</v>
      </c>
      <c r="I37" s="72"/>
      <c r="J37" s="126" t="s">
        <v>75</v>
      </c>
      <c r="K37" s="71" t="s">
        <v>1109</v>
      </c>
      <c r="L37" s="127">
        <v>1429.2857142857142</v>
      </c>
      <c r="M37" s="76">
        <v>7724.8779296875</v>
      </c>
      <c r="N37" s="76">
        <v>2049.41552734375</v>
      </c>
      <c r="O37" s="77"/>
      <c r="P37" s="78"/>
      <c r="Q37" s="78"/>
      <c r="R37" s="128"/>
      <c r="S37" s="48">
        <v>6</v>
      </c>
      <c r="T37" s="48">
        <v>1</v>
      </c>
      <c r="U37" s="49">
        <v>826.071429</v>
      </c>
      <c r="V37" s="49">
        <v>0.003636</v>
      </c>
      <c r="W37" s="49">
        <v>0.016814</v>
      </c>
      <c r="X37" s="49">
        <v>2.367006</v>
      </c>
      <c r="Y37" s="49">
        <v>0.023809523809523808</v>
      </c>
      <c r="Z37" s="49">
        <v>0</v>
      </c>
      <c r="AA37" s="73">
        <v>37</v>
      </c>
      <c r="AB37" s="73"/>
      <c r="AC37" s="74"/>
      <c r="AD37" s="90" t="s">
        <v>1109</v>
      </c>
      <c r="AE37" s="90"/>
      <c r="AF37" s="90"/>
      <c r="AG37" s="90"/>
      <c r="AH37" s="90"/>
      <c r="AI37" s="90"/>
      <c r="AJ37" s="96">
        <v>40952.75996527778</v>
      </c>
      <c r="AK37" s="93" t="str">
        <f>HYPERLINK("https://yt3.ggpht.com/a/AATXAJz7xak2GGpZg6jd5LC3iRDaFb_4sBVMvN0g4Fhs4Ro=s88-c-k-c0xffffffff-no-rj-mo")</f>
        <v>https://yt3.ggpht.com/a/AATXAJz7xak2GGpZg6jd5LC3iRDaFb_4sBVMvN0g4Fhs4Ro=s88-c-k-c0xffffffff-no-rj-mo</v>
      </c>
      <c r="AL37" s="90">
        <v>0</v>
      </c>
      <c r="AM37" s="90">
        <v>0</v>
      </c>
      <c r="AN37" s="90">
        <v>5</v>
      </c>
      <c r="AO37" s="90" t="b">
        <v>0</v>
      </c>
      <c r="AP37" s="90">
        <v>0</v>
      </c>
      <c r="AQ37" s="90"/>
      <c r="AR37" s="90"/>
      <c r="AS37" s="90" t="s">
        <v>341</v>
      </c>
      <c r="AT37" s="93" t="str">
        <f>HYPERLINK("https://www.youtube.com/channel/UCaGhXr-kvN_GI1muhSsXTrg")</f>
        <v>https://www.youtube.com/channel/UCaGhXr-kvN_GI1muhSsXTrg</v>
      </c>
      <c r="AU37" s="89" t="str">
        <f>REPLACE(INDEX(GroupVertices[Group],MATCH(Vertices[[#This Row],[Vertex]],GroupVertices[Vertex],0)),1,1,"")</f>
        <v>8</v>
      </c>
      <c r="AV37" s="48">
        <v>3</v>
      </c>
      <c r="AW37" s="49">
        <v>4</v>
      </c>
      <c r="AX37" s="48">
        <v>3</v>
      </c>
      <c r="AY37" s="49">
        <v>4</v>
      </c>
      <c r="AZ37" s="48">
        <v>0</v>
      </c>
      <c r="BA37" s="49">
        <v>0</v>
      </c>
      <c r="BB37" s="48">
        <v>69</v>
      </c>
      <c r="BC37" s="49">
        <v>92</v>
      </c>
      <c r="BD37" s="48">
        <v>75</v>
      </c>
      <c r="BE37" s="48"/>
      <c r="BF37" s="48"/>
      <c r="BG37" s="48"/>
      <c r="BH37" s="48"/>
      <c r="BI37" s="48"/>
      <c r="BJ37" s="48"/>
      <c r="BK37" s="48" t="s">
        <v>1347</v>
      </c>
      <c r="BL37" s="48" t="s">
        <v>1347</v>
      </c>
      <c r="BM37" s="119" t="s">
        <v>1423</v>
      </c>
      <c r="BN37" s="119" t="s">
        <v>1423</v>
      </c>
      <c r="BO37" s="119" t="s">
        <v>1542</v>
      </c>
      <c r="BP37" s="119" t="s">
        <v>1542</v>
      </c>
      <c r="BQ37" s="2"/>
      <c r="BR37" s="3"/>
      <c r="BS37" s="3"/>
      <c r="BT37" s="3"/>
      <c r="BU37" s="3"/>
    </row>
    <row r="38" spans="1:73" ht="15">
      <c r="A38" s="66" t="s">
        <v>798</v>
      </c>
      <c r="B38" s="67"/>
      <c r="C38" s="67"/>
      <c r="D38" s="68">
        <v>200</v>
      </c>
      <c r="E38" s="124"/>
      <c r="F38" s="98" t="str">
        <f>HYPERLINK("https://yt3.ggpht.com/a/AATXAJyGdgSq99YvTTEvghz4V7QZNZteQQRgRuPscIC27g=s88-c-k-c0xffffffff-no-rj-mo")</f>
        <v>https://yt3.ggpht.com/a/AATXAJyGdgSq99YvTTEvghz4V7QZNZteQQRgRuPscIC27g=s88-c-k-c0xffffffff-no-rj-mo</v>
      </c>
      <c r="G38" s="125"/>
      <c r="H38" s="71" t="s">
        <v>1105</v>
      </c>
      <c r="I38" s="72"/>
      <c r="J38" s="126" t="s">
        <v>159</v>
      </c>
      <c r="K38" s="71" t="s">
        <v>1105</v>
      </c>
      <c r="L38" s="127">
        <v>1</v>
      </c>
      <c r="M38" s="76">
        <v>8107.3759765625</v>
      </c>
      <c r="N38" s="76">
        <v>3453.411865234375</v>
      </c>
      <c r="O38" s="77"/>
      <c r="P38" s="78"/>
      <c r="Q38" s="78"/>
      <c r="R38" s="128"/>
      <c r="S38" s="48">
        <v>0</v>
      </c>
      <c r="T38" s="48">
        <v>1</v>
      </c>
      <c r="U38" s="49">
        <v>0</v>
      </c>
      <c r="V38" s="49">
        <v>0.002604</v>
      </c>
      <c r="W38" s="49">
        <v>0.002247</v>
      </c>
      <c r="X38" s="49">
        <v>0.437422</v>
      </c>
      <c r="Y38" s="49">
        <v>0</v>
      </c>
      <c r="Z38" s="49">
        <v>0</v>
      </c>
      <c r="AA38" s="73">
        <v>38</v>
      </c>
      <c r="AB38" s="73"/>
      <c r="AC38" s="74"/>
      <c r="AD38" s="90" t="s">
        <v>1105</v>
      </c>
      <c r="AE38" s="90"/>
      <c r="AF38" s="90"/>
      <c r="AG38" s="90"/>
      <c r="AH38" s="90"/>
      <c r="AI38" s="90"/>
      <c r="AJ38" s="96">
        <v>38789.19106481481</v>
      </c>
      <c r="AK38" s="93" t="str">
        <f>HYPERLINK("https://yt3.ggpht.com/a/AATXAJyGdgSq99YvTTEvghz4V7QZNZteQQRgRuPscIC27g=s88-c-k-c0xffffffff-no-rj-mo")</f>
        <v>https://yt3.ggpht.com/a/AATXAJyGdgSq99YvTTEvghz4V7QZNZteQQRgRuPscIC27g=s88-c-k-c0xffffffff-no-rj-mo</v>
      </c>
      <c r="AL38" s="90">
        <v>506933</v>
      </c>
      <c r="AM38" s="90">
        <v>0</v>
      </c>
      <c r="AN38" s="90">
        <v>1780</v>
      </c>
      <c r="AO38" s="90" t="b">
        <v>0</v>
      </c>
      <c r="AP38" s="90">
        <v>128</v>
      </c>
      <c r="AQ38" s="90"/>
      <c r="AR38" s="90"/>
      <c r="AS38" s="90" t="s">
        <v>341</v>
      </c>
      <c r="AT38" s="93" t="str">
        <f>HYPERLINK("https://www.youtube.com/channel/UChDa7-LeLEDuk7xkf7wHCbg")</f>
        <v>https://www.youtube.com/channel/UChDa7-LeLEDuk7xkf7wHCbg</v>
      </c>
      <c r="AU38" s="89" t="str">
        <f>REPLACE(INDEX(GroupVertices[Group],MATCH(Vertices[[#This Row],[Vertex]],GroupVertices[Vertex],0)),1,1,"")</f>
        <v>8</v>
      </c>
      <c r="AV38" s="48">
        <v>2</v>
      </c>
      <c r="AW38" s="49">
        <v>6.896551724137931</v>
      </c>
      <c r="AX38" s="48">
        <v>1</v>
      </c>
      <c r="AY38" s="49">
        <v>3.4482758620689653</v>
      </c>
      <c r="AZ38" s="48">
        <v>0</v>
      </c>
      <c r="BA38" s="49">
        <v>0</v>
      </c>
      <c r="BB38" s="48">
        <v>26</v>
      </c>
      <c r="BC38" s="49">
        <v>89.65517241379311</v>
      </c>
      <c r="BD38" s="48">
        <v>29</v>
      </c>
      <c r="BE38" s="48"/>
      <c r="BF38" s="48"/>
      <c r="BG38" s="48"/>
      <c r="BH38" s="48"/>
      <c r="BI38" s="48"/>
      <c r="BJ38" s="48"/>
      <c r="BK38" s="48" t="s">
        <v>686</v>
      </c>
      <c r="BL38" s="48" t="s">
        <v>686</v>
      </c>
      <c r="BM38" s="119" t="s">
        <v>1424</v>
      </c>
      <c r="BN38" s="119" t="s">
        <v>1424</v>
      </c>
      <c r="BO38" s="119" t="s">
        <v>1543</v>
      </c>
      <c r="BP38" s="119" t="s">
        <v>1543</v>
      </c>
      <c r="BQ38" s="2"/>
      <c r="BR38" s="3"/>
      <c r="BS38" s="3"/>
      <c r="BT38" s="3"/>
      <c r="BU38" s="3"/>
    </row>
    <row r="39" spans="1:73" ht="15">
      <c r="A39" s="66" t="s">
        <v>799</v>
      </c>
      <c r="B39" s="67"/>
      <c r="C39" s="67"/>
      <c r="D39" s="68">
        <v>200</v>
      </c>
      <c r="E39" s="124"/>
      <c r="F39" s="98" t="str">
        <f>HYPERLINK("https://yt3.ggpht.com/a/AATXAJzp64g0QqGVmnXRsLlDye23rQFNFINw40rvjA=s88-c-k-c0xffffffff-no-rj-mo")</f>
        <v>https://yt3.ggpht.com/a/AATXAJzp64g0QqGVmnXRsLlDye23rQFNFINw40rvjA=s88-c-k-c0xffffffff-no-rj-mo</v>
      </c>
      <c r="G39" s="125"/>
      <c r="H39" s="71" t="s">
        <v>1106</v>
      </c>
      <c r="I39" s="72"/>
      <c r="J39" s="126" t="s">
        <v>159</v>
      </c>
      <c r="K39" s="71" t="s">
        <v>1106</v>
      </c>
      <c r="L39" s="127">
        <v>1</v>
      </c>
      <c r="M39" s="76">
        <v>7207.50634765625</v>
      </c>
      <c r="N39" s="76">
        <v>3149.4287109375</v>
      </c>
      <c r="O39" s="77"/>
      <c r="P39" s="78"/>
      <c r="Q39" s="78"/>
      <c r="R39" s="128"/>
      <c r="S39" s="48">
        <v>0</v>
      </c>
      <c r="T39" s="48">
        <v>1</v>
      </c>
      <c r="U39" s="49">
        <v>0</v>
      </c>
      <c r="V39" s="49">
        <v>0.002604</v>
      </c>
      <c r="W39" s="49">
        <v>0.002247</v>
      </c>
      <c r="X39" s="49">
        <v>0.437422</v>
      </c>
      <c r="Y39" s="49">
        <v>0</v>
      </c>
      <c r="Z39" s="49">
        <v>0</v>
      </c>
      <c r="AA39" s="73">
        <v>39</v>
      </c>
      <c r="AB39" s="73"/>
      <c r="AC39" s="74"/>
      <c r="AD39" s="90" t="s">
        <v>1106</v>
      </c>
      <c r="AE39" s="90"/>
      <c r="AF39" s="90"/>
      <c r="AG39" s="90"/>
      <c r="AH39" s="90"/>
      <c r="AI39" s="90"/>
      <c r="AJ39" s="96">
        <v>43523.45726851852</v>
      </c>
      <c r="AK39" s="93" t="str">
        <f>HYPERLINK("https://yt3.ggpht.com/a/AATXAJzp64g0QqGVmnXRsLlDye23rQFNFINw40rvjA=s88-c-k-c0xffffffff-no-rj-mo")</f>
        <v>https://yt3.ggpht.com/a/AATXAJzp64g0QqGVmnXRsLlDye23rQFNFINw40rvjA=s88-c-k-c0xffffffff-no-rj-mo</v>
      </c>
      <c r="AL39" s="90">
        <v>0</v>
      </c>
      <c r="AM39" s="90">
        <v>0</v>
      </c>
      <c r="AN39" s="90">
        <v>0</v>
      </c>
      <c r="AO39" s="90" t="b">
        <v>0</v>
      </c>
      <c r="AP39" s="90">
        <v>0</v>
      </c>
      <c r="AQ39" s="90"/>
      <c r="AR39" s="90"/>
      <c r="AS39" s="90" t="s">
        <v>341</v>
      </c>
      <c r="AT39" s="93" t="str">
        <f>HYPERLINK("https://www.youtube.com/channel/UCa9ECoAwB9PGwGp8HBr0ceA")</f>
        <v>https://www.youtube.com/channel/UCa9ECoAwB9PGwGp8HBr0ceA</v>
      </c>
      <c r="AU39" s="89" t="str">
        <f>REPLACE(INDEX(GroupVertices[Group],MATCH(Vertices[[#This Row],[Vertex]],GroupVertices[Vertex],0)),1,1,"")</f>
        <v>8</v>
      </c>
      <c r="AV39" s="48">
        <v>1</v>
      </c>
      <c r="AW39" s="49">
        <v>8.333333333333334</v>
      </c>
      <c r="AX39" s="48">
        <v>0</v>
      </c>
      <c r="AY39" s="49">
        <v>0</v>
      </c>
      <c r="AZ39" s="48">
        <v>0</v>
      </c>
      <c r="BA39" s="49">
        <v>0</v>
      </c>
      <c r="BB39" s="48">
        <v>11</v>
      </c>
      <c r="BC39" s="49">
        <v>91.66666666666667</v>
      </c>
      <c r="BD39" s="48">
        <v>12</v>
      </c>
      <c r="BE39" s="48"/>
      <c r="BF39" s="48"/>
      <c r="BG39" s="48"/>
      <c r="BH39" s="48"/>
      <c r="BI39" s="48"/>
      <c r="BJ39" s="48"/>
      <c r="BK39" s="48" t="s">
        <v>686</v>
      </c>
      <c r="BL39" s="48" t="s">
        <v>686</v>
      </c>
      <c r="BM39" s="119" t="s">
        <v>1425</v>
      </c>
      <c r="BN39" s="119" t="s">
        <v>1425</v>
      </c>
      <c r="BO39" s="119" t="s">
        <v>1544</v>
      </c>
      <c r="BP39" s="119" t="s">
        <v>1544</v>
      </c>
      <c r="BQ39" s="2"/>
      <c r="BR39" s="3"/>
      <c r="BS39" s="3"/>
      <c r="BT39" s="3"/>
      <c r="BU39" s="3"/>
    </row>
    <row r="40" spans="1:73" ht="15">
      <c r="A40" s="66" t="s">
        <v>800</v>
      </c>
      <c r="B40" s="67"/>
      <c r="C40" s="67"/>
      <c r="D40" s="68">
        <v>200</v>
      </c>
      <c r="E40" s="124"/>
      <c r="F40" s="98" t="str">
        <f>HYPERLINK("https://yt3.ggpht.com/a/AATXAJylhmlRfDGo_607SPongPQqSysS2dXmGWJlHA=s88-c-k-c0xffffffff-no-rj-mo")</f>
        <v>https://yt3.ggpht.com/a/AATXAJylhmlRfDGo_607SPongPQqSysS2dXmGWJlHA=s88-c-k-c0xffffffff-no-rj-mo</v>
      </c>
      <c r="G40" s="125"/>
      <c r="H40" s="71" t="s">
        <v>1107</v>
      </c>
      <c r="I40" s="72"/>
      <c r="J40" s="126" t="s">
        <v>159</v>
      </c>
      <c r="K40" s="71" t="s">
        <v>1107</v>
      </c>
      <c r="L40" s="127">
        <v>1</v>
      </c>
      <c r="M40" s="76">
        <v>7862.0771484375</v>
      </c>
      <c r="N40" s="76">
        <v>530.9192504882812</v>
      </c>
      <c r="O40" s="77"/>
      <c r="P40" s="78"/>
      <c r="Q40" s="78"/>
      <c r="R40" s="128"/>
      <c r="S40" s="48">
        <v>0</v>
      </c>
      <c r="T40" s="48">
        <v>3</v>
      </c>
      <c r="U40" s="49">
        <v>8.666667</v>
      </c>
      <c r="V40" s="49">
        <v>0.002646</v>
      </c>
      <c r="W40" s="49">
        <v>0.006104</v>
      </c>
      <c r="X40" s="49">
        <v>0.97914</v>
      </c>
      <c r="Y40" s="49">
        <v>0</v>
      </c>
      <c r="Z40" s="49">
        <v>0</v>
      </c>
      <c r="AA40" s="73">
        <v>40</v>
      </c>
      <c r="AB40" s="73"/>
      <c r="AC40" s="74"/>
      <c r="AD40" s="90" t="s">
        <v>1107</v>
      </c>
      <c r="AE40" s="90"/>
      <c r="AF40" s="90"/>
      <c r="AG40" s="90"/>
      <c r="AH40" s="90"/>
      <c r="AI40" s="90"/>
      <c r="AJ40" s="96">
        <v>40856.041493055556</v>
      </c>
      <c r="AK40" s="93" t="str">
        <f>HYPERLINK("https://yt3.ggpht.com/a/AATXAJylhmlRfDGo_607SPongPQqSysS2dXmGWJlHA=s88-c-k-c0xffffffff-no-rj-mo")</f>
        <v>https://yt3.ggpht.com/a/AATXAJylhmlRfDGo_607SPongPQqSysS2dXmGWJlHA=s88-c-k-c0xffffffff-no-rj-mo</v>
      </c>
      <c r="AL40" s="90">
        <v>0</v>
      </c>
      <c r="AM40" s="90">
        <v>0</v>
      </c>
      <c r="AN40" s="90">
        <v>2</v>
      </c>
      <c r="AO40" s="90" t="b">
        <v>0</v>
      </c>
      <c r="AP40" s="90">
        <v>0</v>
      </c>
      <c r="AQ40" s="90"/>
      <c r="AR40" s="90"/>
      <c r="AS40" s="90" t="s">
        <v>341</v>
      </c>
      <c r="AT40" s="93" t="str">
        <f>HYPERLINK("https://www.youtube.com/channel/UCLswkNtcRTygrVqG-VufI9A")</f>
        <v>https://www.youtube.com/channel/UCLswkNtcRTygrVqG-VufI9A</v>
      </c>
      <c r="AU40" s="89" t="str">
        <f>REPLACE(INDEX(GroupVertices[Group],MATCH(Vertices[[#This Row],[Vertex]],GroupVertices[Vertex],0)),1,1,"")</f>
        <v>8</v>
      </c>
      <c r="AV40" s="48">
        <v>0</v>
      </c>
      <c r="AW40" s="49">
        <v>0</v>
      </c>
      <c r="AX40" s="48">
        <v>3</v>
      </c>
      <c r="AY40" s="49">
        <v>12.5</v>
      </c>
      <c r="AZ40" s="48">
        <v>0</v>
      </c>
      <c r="BA40" s="49">
        <v>0</v>
      </c>
      <c r="BB40" s="48">
        <v>21</v>
      </c>
      <c r="BC40" s="49">
        <v>87.5</v>
      </c>
      <c r="BD40" s="48">
        <v>24</v>
      </c>
      <c r="BE40" s="48"/>
      <c r="BF40" s="48"/>
      <c r="BG40" s="48"/>
      <c r="BH40" s="48"/>
      <c r="BI40" s="48"/>
      <c r="BJ40" s="48"/>
      <c r="BK40" s="48" t="s">
        <v>1348</v>
      </c>
      <c r="BL40" s="48" t="s">
        <v>1349</v>
      </c>
      <c r="BM40" s="119" t="s">
        <v>1426</v>
      </c>
      <c r="BN40" s="119" t="s">
        <v>1426</v>
      </c>
      <c r="BO40" s="119" t="s">
        <v>1545</v>
      </c>
      <c r="BP40" s="119" t="s">
        <v>1545</v>
      </c>
      <c r="BQ40" s="2"/>
      <c r="BR40" s="3"/>
      <c r="BS40" s="3"/>
      <c r="BT40" s="3"/>
      <c r="BU40" s="3"/>
    </row>
    <row r="41" spans="1:73" ht="15">
      <c r="A41" s="66" t="s">
        <v>801</v>
      </c>
      <c r="B41" s="67"/>
      <c r="C41" s="67"/>
      <c r="D41" s="68">
        <v>200</v>
      </c>
      <c r="E41" s="124"/>
      <c r="F41" s="98" t="str">
        <f>HYPERLINK("https://yt3.ggpht.com/a/AATXAJwWhdnDMOFppf2x9nllEWFqGa5udMpaA6I_=s88-c-k-c0xffffffff-no-rj-mo")</f>
        <v>https://yt3.ggpht.com/a/AATXAJwWhdnDMOFppf2x9nllEWFqGa5udMpaA6I_=s88-c-k-c0xffffffff-no-rj-mo</v>
      </c>
      <c r="G41" s="125"/>
      <c r="H41" s="71" t="s">
        <v>1108</v>
      </c>
      <c r="I41" s="72"/>
      <c r="J41" s="126" t="s">
        <v>159</v>
      </c>
      <c r="K41" s="71" t="s">
        <v>1108</v>
      </c>
      <c r="L41" s="127">
        <v>1</v>
      </c>
      <c r="M41" s="76">
        <v>8506.2783203125</v>
      </c>
      <c r="N41" s="76">
        <v>1610.8768310546875</v>
      </c>
      <c r="O41" s="77"/>
      <c r="P41" s="78"/>
      <c r="Q41" s="78"/>
      <c r="R41" s="128"/>
      <c r="S41" s="48">
        <v>0</v>
      </c>
      <c r="T41" s="48">
        <v>2</v>
      </c>
      <c r="U41" s="49">
        <v>2.666667</v>
      </c>
      <c r="V41" s="49">
        <v>0.002618</v>
      </c>
      <c r="W41" s="49">
        <v>0.004032</v>
      </c>
      <c r="X41" s="49">
        <v>0.715516</v>
      </c>
      <c r="Y41" s="49">
        <v>0</v>
      </c>
      <c r="Z41" s="49">
        <v>0</v>
      </c>
      <c r="AA41" s="73">
        <v>41</v>
      </c>
      <c r="AB41" s="73"/>
      <c r="AC41" s="74"/>
      <c r="AD41" s="90" t="s">
        <v>1108</v>
      </c>
      <c r="AE41" s="90"/>
      <c r="AF41" s="90"/>
      <c r="AG41" s="90"/>
      <c r="AH41" s="90"/>
      <c r="AI41" s="90"/>
      <c r="AJ41" s="96">
        <v>42011.018217592595</v>
      </c>
      <c r="AK41" s="93" t="str">
        <f>HYPERLINK("https://yt3.ggpht.com/a/AATXAJwWhdnDMOFppf2x9nllEWFqGa5udMpaA6I_=s88-c-k-c0xffffffff-no-rj-mo")</f>
        <v>https://yt3.ggpht.com/a/AATXAJwWhdnDMOFppf2x9nllEWFqGa5udMpaA6I_=s88-c-k-c0xffffffff-no-rj-mo</v>
      </c>
      <c r="AL41" s="90">
        <v>0</v>
      </c>
      <c r="AM41" s="90">
        <v>0</v>
      </c>
      <c r="AN41" s="90">
        <v>7</v>
      </c>
      <c r="AO41" s="90" t="b">
        <v>0</v>
      </c>
      <c r="AP41" s="90">
        <v>0</v>
      </c>
      <c r="AQ41" s="90"/>
      <c r="AR41" s="90"/>
      <c r="AS41" s="90" t="s">
        <v>341</v>
      </c>
      <c r="AT41" s="93" t="str">
        <f>HYPERLINK("https://www.youtube.com/channel/UC4GOUO7fjBrBfeRSiMAl31Q")</f>
        <v>https://www.youtube.com/channel/UC4GOUO7fjBrBfeRSiMAl31Q</v>
      </c>
      <c r="AU41" s="89" t="str">
        <f>REPLACE(INDEX(GroupVertices[Group],MATCH(Vertices[[#This Row],[Vertex]],GroupVertices[Vertex],0)),1,1,"")</f>
        <v>8</v>
      </c>
      <c r="AV41" s="48">
        <v>1</v>
      </c>
      <c r="AW41" s="49">
        <v>1.9230769230769231</v>
      </c>
      <c r="AX41" s="48">
        <v>0</v>
      </c>
      <c r="AY41" s="49">
        <v>0</v>
      </c>
      <c r="AZ41" s="48">
        <v>0</v>
      </c>
      <c r="BA41" s="49">
        <v>0</v>
      </c>
      <c r="BB41" s="48">
        <v>51</v>
      </c>
      <c r="BC41" s="49">
        <v>98.07692307692308</v>
      </c>
      <c r="BD41" s="48">
        <v>52</v>
      </c>
      <c r="BE41" s="48"/>
      <c r="BF41" s="48"/>
      <c r="BG41" s="48"/>
      <c r="BH41" s="48"/>
      <c r="BI41" s="48"/>
      <c r="BJ41" s="48"/>
      <c r="BK41" s="48" t="s">
        <v>1348</v>
      </c>
      <c r="BL41" s="48" t="s">
        <v>1348</v>
      </c>
      <c r="BM41" s="119" t="s">
        <v>1427</v>
      </c>
      <c r="BN41" s="119" t="s">
        <v>1427</v>
      </c>
      <c r="BO41" s="119" t="s">
        <v>1546</v>
      </c>
      <c r="BP41" s="119" t="s">
        <v>1546</v>
      </c>
      <c r="BQ41" s="2"/>
      <c r="BR41" s="3"/>
      <c r="BS41" s="3"/>
      <c r="BT41" s="3"/>
      <c r="BU41" s="3"/>
    </row>
    <row r="42" spans="1:73" ht="15">
      <c r="A42" s="66" t="s">
        <v>803</v>
      </c>
      <c r="B42" s="67"/>
      <c r="C42" s="67"/>
      <c r="D42" s="68">
        <v>200</v>
      </c>
      <c r="E42" s="124"/>
      <c r="F42" s="98" t="str">
        <f>HYPERLINK("https://yt3.ggpht.com/a/AATXAJwVnR0psMgAVK9Xhc0F7fyuA6ZUteBr4W1cVDPwJw=s88-c-k-c0xffffffff-no-rj-mo")</f>
        <v>https://yt3.ggpht.com/a/AATXAJwVnR0psMgAVK9Xhc0F7fyuA6ZUteBr4W1cVDPwJw=s88-c-k-c0xffffffff-no-rj-mo</v>
      </c>
      <c r="G42" s="125"/>
      <c r="H42" s="71" t="s">
        <v>1110</v>
      </c>
      <c r="I42" s="72"/>
      <c r="J42" s="126" t="s">
        <v>159</v>
      </c>
      <c r="K42" s="71" t="s">
        <v>1110</v>
      </c>
      <c r="L42" s="127">
        <v>1</v>
      </c>
      <c r="M42" s="76">
        <v>3916.8056640625</v>
      </c>
      <c r="N42" s="76">
        <v>6076.0107421875</v>
      </c>
      <c r="O42" s="77"/>
      <c r="P42" s="78"/>
      <c r="Q42" s="78"/>
      <c r="R42" s="128"/>
      <c r="S42" s="48">
        <v>0</v>
      </c>
      <c r="T42" s="48">
        <v>1</v>
      </c>
      <c r="U42" s="49">
        <v>0</v>
      </c>
      <c r="V42" s="49">
        <v>0.002538</v>
      </c>
      <c r="W42" s="49">
        <v>0.001633</v>
      </c>
      <c r="X42" s="49">
        <v>0.500973</v>
      </c>
      <c r="Y42" s="49">
        <v>0</v>
      </c>
      <c r="Z42" s="49">
        <v>0</v>
      </c>
      <c r="AA42" s="73">
        <v>42</v>
      </c>
      <c r="AB42" s="73"/>
      <c r="AC42" s="74"/>
      <c r="AD42" s="90" t="s">
        <v>1110</v>
      </c>
      <c r="AE42" s="90"/>
      <c r="AF42" s="90"/>
      <c r="AG42" s="90"/>
      <c r="AH42" s="90"/>
      <c r="AI42" s="90"/>
      <c r="AJ42" s="96">
        <v>41465.88846064815</v>
      </c>
      <c r="AK42" s="93" t="str">
        <f>HYPERLINK("https://yt3.ggpht.com/a/AATXAJwVnR0psMgAVK9Xhc0F7fyuA6ZUteBr4W1cVDPwJw=s88-c-k-c0xffffffff-no-rj-mo")</f>
        <v>https://yt3.ggpht.com/a/AATXAJwVnR0psMgAVK9Xhc0F7fyuA6ZUteBr4W1cVDPwJw=s88-c-k-c0xffffffff-no-rj-mo</v>
      </c>
      <c r="AL42" s="90">
        <v>0</v>
      </c>
      <c r="AM42" s="90">
        <v>0</v>
      </c>
      <c r="AN42" s="90">
        <v>0</v>
      </c>
      <c r="AO42" s="90" t="b">
        <v>0</v>
      </c>
      <c r="AP42" s="90">
        <v>0</v>
      </c>
      <c r="AQ42" s="90"/>
      <c r="AR42" s="90"/>
      <c r="AS42" s="90" t="s">
        <v>341</v>
      </c>
      <c r="AT42" s="93" t="str">
        <f>HYPERLINK("https://www.youtube.com/channel/UCIMEtwv81uPCn_KmlW6iOlA")</f>
        <v>https://www.youtube.com/channel/UCIMEtwv81uPCn_KmlW6iOlA</v>
      </c>
      <c r="AU42" s="89" t="str">
        <f>REPLACE(INDEX(GroupVertices[Group],MATCH(Vertices[[#This Row],[Vertex]],GroupVertices[Vertex],0)),1,1,"")</f>
        <v>1</v>
      </c>
      <c r="AV42" s="48">
        <v>0</v>
      </c>
      <c r="AW42" s="49">
        <v>0</v>
      </c>
      <c r="AX42" s="48">
        <v>0</v>
      </c>
      <c r="AY42" s="49">
        <v>0</v>
      </c>
      <c r="AZ42" s="48">
        <v>0</v>
      </c>
      <c r="BA42" s="49">
        <v>0</v>
      </c>
      <c r="BB42" s="48">
        <v>4</v>
      </c>
      <c r="BC42" s="49">
        <v>100</v>
      </c>
      <c r="BD42" s="48">
        <v>4</v>
      </c>
      <c r="BE42" s="48"/>
      <c r="BF42" s="48"/>
      <c r="BG42" s="48"/>
      <c r="BH42" s="48"/>
      <c r="BI42" s="48"/>
      <c r="BJ42" s="48"/>
      <c r="BK42" s="48" t="s">
        <v>1347</v>
      </c>
      <c r="BL42" s="48" t="s">
        <v>1347</v>
      </c>
      <c r="BM42" s="119" t="s">
        <v>1428</v>
      </c>
      <c r="BN42" s="119" t="s">
        <v>1428</v>
      </c>
      <c r="BO42" s="119" t="s">
        <v>708</v>
      </c>
      <c r="BP42" s="119" t="s">
        <v>708</v>
      </c>
      <c r="BQ42" s="2"/>
      <c r="BR42" s="3"/>
      <c r="BS42" s="3"/>
      <c r="BT42" s="3"/>
      <c r="BU42" s="3"/>
    </row>
    <row r="43" spans="1:73" ht="15">
      <c r="A43" s="66" t="s">
        <v>804</v>
      </c>
      <c r="B43" s="67"/>
      <c r="C43" s="67"/>
      <c r="D43" s="68">
        <v>360</v>
      </c>
      <c r="E43" s="124"/>
      <c r="F43" s="98" t="str">
        <f>HYPERLINK("https://yt3.ggpht.com/a/AATXAJxO36lCeD5NDF4ShTW6ep59F5BWKohZcBzhAw=s88-c-k-c0xffffffff-no-rj-mo")</f>
        <v>https://yt3.ggpht.com/a/AATXAJxO36lCeD5NDF4ShTW6ep59F5BWKohZcBzhAw=s88-c-k-c0xffffffff-no-rj-mo</v>
      </c>
      <c r="G43" s="125"/>
      <c r="H43" s="71" t="s">
        <v>1111</v>
      </c>
      <c r="I43" s="72"/>
      <c r="J43" s="126" t="s">
        <v>75</v>
      </c>
      <c r="K43" s="71" t="s">
        <v>1111</v>
      </c>
      <c r="L43" s="127">
        <v>239.04761904761904</v>
      </c>
      <c r="M43" s="76">
        <v>2875.369140625</v>
      </c>
      <c r="N43" s="76">
        <v>6297.4697265625</v>
      </c>
      <c r="O43" s="77"/>
      <c r="P43" s="78"/>
      <c r="Q43" s="78"/>
      <c r="R43" s="128"/>
      <c r="S43" s="48">
        <v>1</v>
      </c>
      <c r="T43" s="48">
        <v>1</v>
      </c>
      <c r="U43" s="49">
        <v>218</v>
      </c>
      <c r="V43" s="49">
        <v>0.003509</v>
      </c>
      <c r="W43" s="49">
        <v>0.012221</v>
      </c>
      <c r="X43" s="49">
        <v>0.825821</v>
      </c>
      <c r="Y43" s="49">
        <v>0</v>
      </c>
      <c r="Z43" s="49">
        <v>0</v>
      </c>
      <c r="AA43" s="73">
        <v>43</v>
      </c>
      <c r="AB43" s="73"/>
      <c r="AC43" s="74"/>
      <c r="AD43" s="90" t="s">
        <v>1111</v>
      </c>
      <c r="AE43" s="90"/>
      <c r="AF43" s="90"/>
      <c r="AG43" s="90"/>
      <c r="AH43" s="90"/>
      <c r="AI43" s="90"/>
      <c r="AJ43" s="96">
        <v>39281.285462962966</v>
      </c>
      <c r="AK43" s="93" t="str">
        <f>HYPERLINK("https://yt3.ggpht.com/a/AATXAJxO36lCeD5NDF4ShTW6ep59F5BWKohZcBzhAw=s88-c-k-c0xffffffff-no-rj-mo")</f>
        <v>https://yt3.ggpht.com/a/AATXAJxO36lCeD5NDF4ShTW6ep59F5BWKohZcBzhAw=s88-c-k-c0xffffffff-no-rj-mo</v>
      </c>
      <c r="AL43" s="90">
        <v>0</v>
      </c>
      <c r="AM43" s="90">
        <v>0</v>
      </c>
      <c r="AN43" s="90">
        <v>95</v>
      </c>
      <c r="AO43" s="90" t="b">
        <v>0</v>
      </c>
      <c r="AP43" s="90">
        <v>0</v>
      </c>
      <c r="AQ43" s="90"/>
      <c r="AR43" s="90"/>
      <c r="AS43" s="90" t="s">
        <v>341</v>
      </c>
      <c r="AT43" s="93" t="str">
        <f>HYPERLINK("https://www.youtube.com/channel/UCnFJ4cNNQdb9kvmTZAIgKsw")</f>
        <v>https://www.youtube.com/channel/UCnFJ4cNNQdb9kvmTZAIgKsw</v>
      </c>
      <c r="AU43" s="89" t="str">
        <f>REPLACE(INDEX(GroupVertices[Group],MATCH(Vertices[[#This Row],[Vertex]],GroupVertices[Vertex],0)),1,1,"")</f>
        <v>1</v>
      </c>
      <c r="AV43" s="48">
        <v>0</v>
      </c>
      <c r="AW43" s="49">
        <v>0</v>
      </c>
      <c r="AX43" s="48">
        <v>3</v>
      </c>
      <c r="AY43" s="49">
        <v>17.647058823529413</v>
      </c>
      <c r="AZ43" s="48">
        <v>0</v>
      </c>
      <c r="BA43" s="49">
        <v>0</v>
      </c>
      <c r="BB43" s="48">
        <v>14</v>
      </c>
      <c r="BC43" s="49">
        <v>82.3529411764706</v>
      </c>
      <c r="BD43" s="48">
        <v>17</v>
      </c>
      <c r="BE43" s="48"/>
      <c r="BF43" s="48"/>
      <c r="BG43" s="48"/>
      <c r="BH43" s="48"/>
      <c r="BI43" s="48"/>
      <c r="BJ43" s="48"/>
      <c r="BK43" s="48" t="s">
        <v>1347</v>
      </c>
      <c r="BL43" s="48" t="s">
        <v>1347</v>
      </c>
      <c r="BM43" s="119" t="s">
        <v>1429</v>
      </c>
      <c r="BN43" s="119" t="s">
        <v>1429</v>
      </c>
      <c r="BO43" s="119" t="s">
        <v>1547</v>
      </c>
      <c r="BP43" s="119" t="s">
        <v>1547</v>
      </c>
      <c r="BQ43" s="2"/>
      <c r="BR43" s="3"/>
      <c r="BS43" s="3"/>
      <c r="BT43" s="3"/>
      <c r="BU43" s="3"/>
    </row>
    <row r="44" spans="1:73" ht="15">
      <c r="A44" s="66" t="s">
        <v>805</v>
      </c>
      <c r="B44" s="67"/>
      <c r="C44" s="67"/>
      <c r="D44" s="68">
        <v>200</v>
      </c>
      <c r="E44" s="124"/>
      <c r="F44" s="98" t="str">
        <f>HYPERLINK("https://yt3.ggpht.com/a/AATXAJyyfkZHeIwKnzg4pVrYk_M68wY0WJweqeUCRQ=s88-c-k-c0xffffffff-no-rj-mo")</f>
        <v>https://yt3.ggpht.com/a/AATXAJyyfkZHeIwKnzg4pVrYk_M68wY0WJweqeUCRQ=s88-c-k-c0xffffffff-no-rj-mo</v>
      </c>
      <c r="G44" s="125"/>
      <c r="H44" s="71" t="s">
        <v>1112</v>
      </c>
      <c r="I44" s="72"/>
      <c r="J44" s="126" t="s">
        <v>159</v>
      </c>
      <c r="K44" s="71" t="s">
        <v>1112</v>
      </c>
      <c r="L44" s="127">
        <v>1</v>
      </c>
      <c r="M44" s="76">
        <v>4036.82177734375</v>
      </c>
      <c r="N44" s="76">
        <v>9029.130859375</v>
      </c>
      <c r="O44" s="77"/>
      <c r="P44" s="78"/>
      <c r="Q44" s="78"/>
      <c r="R44" s="128"/>
      <c r="S44" s="48">
        <v>0</v>
      </c>
      <c r="T44" s="48">
        <v>1</v>
      </c>
      <c r="U44" s="49">
        <v>0</v>
      </c>
      <c r="V44" s="49">
        <v>0.002591</v>
      </c>
      <c r="W44" s="49">
        <v>0.002312</v>
      </c>
      <c r="X44" s="49">
        <v>0.452494</v>
      </c>
      <c r="Y44" s="49">
        <v>0</v>
      </c>
      <c r="Z44" s="49">
        <v>0</v>
      </c>
      <c r="AA44" s="73">
        <v>44</v>
      </c>
      <c r="AB44" s="73"/>
      <c r="AC44" s="74"/>
      <c r="AD44" s="90" t="s">
        <v>1112</v>
      </c>
      <c r="AE44" s="90"/>
      <c r="AF44" s="90"/>
      <c r="AG44" s="90"/>
      <c r="AH44" s="90"/>
      <c r="AI44" s="90"/>
      <c r="AJ44" s="96">
        <v>40830.57194444445</v>
      </c>
      <c r="AK44" s="93" t="str">
        <f>HYPERLINK("https://yt3.ggpht.com/a/AATXAJyyfkZHeIwKnzg4pVrYk_M68wY0WJweqeUCRQ=s88-c-k-c0xffffffff-no-rj-mo")</f>
        <v>https://yt3.ggpht.com/a/AATXAJyyfkZHeIwKnzg4pVrYk_M68wY0WJweqeUCRQ=s88-c-k-c0xffffffff-no-rj-mo</v>
      </c>
      <c r="AL44" s="90">
        <v>0</v>
      </c>
      <c r="AM44" s="90">
        <v>0</v>
      </c>
      <c r="AN44" s="90">
        <v>2</v>
      </c>
      <c r="AO44" s="90" t="b">
        <v>0</v>
      </c>
      <c r="AP44" s="90">
        <v>0</v>
      </c>
      <c r="AQ44" s="90"/>
      <c r="AR44" s="90"/>
      <c r="AS44" s="90" t="s">
        <v>341</v>
      </c>
      <c r="AT44" s="93" t="str">
        <f>HYPERLINK("https://www.youtube.com/channel/UCzqDt_l9Cg3kZA3Wuo2b88Q")</f>
        <v>https://www.youtube.com/channel/UCzqDt_l9Cg3kZA3Wuo2b88Q</v>
      </c>
      <c r="AU44" s="89" t="str">
        <f>REPLACE(INDEX(GroupVertices[Group],MATCH(Vertices[[#This Row],[Vertex]],GroupVertices[Vertex],0)),1,1,"")</f>
        <v>3</v>
      </c>
      <c r="AV44" s="48">
        <v>1</v>
      </c>
      <c r="AW44" s="49">
        <v>8.333333333333334</v>
      </c>
      <c r="AX44" s="48">
        <v>0</v>
      </c>
      <c r="AY44" s="49">
        <v>0</v>
      </c>
      <c r="AZ44" s="48">
        <v>0</v>
      </c>
      <c r="BA44" s="49">
        <v>0</v>
      </c>
      <c r="BB44" s="48">
        <v>11</v>
      </c>
      <c r="BC44" s="49">
        <v>91.66666666666667</v>
      </c>
      <c r="BD44" s="48">
        <v>12</v>
      </c>
      <c r="BE44" s="48"/>
      <c r="BF44" s="48"/>
      <c r="BG44" s="48"/>
      <c r="BH44" s="48"/>
      <c r="BI44" s="48"/>
      <c r="BJ44" s="48"/>
      <c r="BK44" s="48" t="s">
        <v>1347</v>
      </c>
      <c r="BL44" s="48" t="s">
        <v>1347</v>
      </c>
      <c r="BM44" s="119" t="s">
        <v>1430</v>
      </c>
      <c r="BN44" s="119" t="s">
        <v>1430</v>
      </c>
      <c r="BO44" s="119" t="s">
        <v>1548</v>
      </c>
      <c r="BP44" s="119" t="s">
        <v>1548</v>
      </c>
      <c r="BQ44" s="2"/>
      <c r="BR44" s="3"/>
      <c r="BS44" s="3"/>
      <c r="BT44" s="3"/>
      <c r="BU44" s="3"/>
    </row>
    <row r="45" spans="1:73" ht="15">
      <c r="A45" s="66" t="s">
        <v>808</v>
      </c>
      <c r="B45" s="67"/>
      <c r="C45" s="67"/>
      <c r="D45" s="68">
        <v>1000</v>
      </c>
      <c r="E45" s="124"/>
      <c r="F45" s="98" t="str">
        <f>HYPERLINK("https://yt3.ggpht.com/a/AATXAJyQy13j4PHGcLkG-0Kw9rvagv3wHWo-glPeFw=s88-c-k-c0xffffffff-no-rj-mo")</f>
        <v>https://yt3.ggpht.com/a/AATXAJyQy13j4PHGcLkG-0Kw9rvagv3wHWo-glPeFw=s88-c-k-c0xffffffff-no-rj-mo</v>
      </c>
      <c r="G45" s="125"/>
      <c r="H45" s="71" t="s">
        <v>1115</v>
      </c>
      <c r="I45" s="72"/>
      <c r="J45" s="126" t="s">
        <v>75</v>
      </c>
      <c r="K45" s="71" t="s">
        <v>1115</v>
      </c>
      <c r="L45" s="127">
        <v>1191.2380952380952</v>
      </c>
      <c r="M45" s="76">
        <v>5043.62158203125</v>
      </c>
      <c r="N45" s="76">
        <v>8858.51171875</v>
      </c>
      <c r="O45" s="77"/>
      <c r="P45" s="78"/>
      <c r="Q45" s="78"/>
      <c r="R45" s="128"/>
      <c r="S45" s="48">
        <v>5</v>
      </c>
      <c r="T45" s="48">
        <v>1</v>
      </c>
      <c r="U45" s="49">
        <v>752.146927</v>
      </c>
      <c r="V45" s="49">
        <v>0.00361</v>
      </c>
      <c r="W45" s="49">
        <v>0.017302</v>
      </c>
      <c r="X45" s="49">
        <v>2.135251</v>
      </c>
      <c r="Y45" s="49">
        <v>0</v>
      </c>
      <c r="Z45" s="49">
        <v>0</v>
      </c>
      <c r="AA45" s="73">
        <v>45</v>
      </c>
      <c r="AB45" s="73"/>
      <c r="AC45" s="74"/>
      <c r="AD45" s="90" t="s">
        <v>1115</v>
      </c>
      <c r="AE45" s="90"/>
      <c r="AF45" s="90"/>
      <c r="AG45" s="90"/>
      <c r="AH45" s="90"/>
      <c r="AI45" s="90"/>
      <c r="AJ45" s="96">
        <v>42952.97231481481</v>
      </c>
      <c r="AK45" s="93" t="str">
        <f>HYPERLINK("https://yt3.ggpht.com/a/AATXAJyQy13j4PHGcLkG-0Kw9rvagv3wHWo-glPeFw=s88-c-k-c0xffffffff-no-rj-mo")</f>
        <v>https://yt3.ggpht.com/a/AATXAJyQy13j4PHGcLkG-0Kw9rvagv3wHWo-glPeFw=s88-c-k-c0xffffffff-no-rj-mo</v>
      </c>
      <c r="AL45" s="90">
        <v>0</v>
      </c>
      <c r="AM45" s="90">
        <v>0</v>
      </c>
      <c r="AN45" s="90">
        <v>0</v>
      </c>
      <c r="AO45" s="90" t="b">
        <v>0</v>
      </c>
      <c r="AP45" s="90">
        <v>0</v>
      </c>
      <c r="AQ45" s="90"/>
      <c r="AR45" s="90"/>
      <c r="AS45" s="90" t="s">
        <v>341</v>
      </c>
      <c r="AT45" s="93" t="str">
        <f>HYPERLINK("https://www.youtube.com/channel/UC_cOJVzPhf7iG2A5wj3eTKw")</f>
        <v>https://www.youtube.com/channel/UC_cOJVzPhf7iG2A5wj3eTKw</v>
      </c>
      <c r="AU45" s="89" t="str">
        <f>REPLACE(INDEX(GroupVertices[Group],MATCH(Vertices[[#This Row],[Vertex]],GroupVertices[Vertex],0)),1,1,"")</f>
        <v>3</v>
      </c>
      <c r="AV45" s="48">
        <v>1</v>
      </c>
      <c r="AW45" s="49">
        <v>4</v>
      </c>
      <c r="AX45" s="48">
        <v>1</v>
      </c>
      <c r="AY45" s="49">
        <v>4</v>
      </c>
      <c r="AZ45" s="48">
        <v>0</v>
      </c>
      <c r="BA45" s="49">
        <v>0</v>
      </c>
      <c r="BB45" s="48">
        <v>23</v>
      </c>
      <c r="BC45" s="49">
        <v>92</v>
      </c>
      <c r="BD45" s="48">
        <v>25</v>
      </c>
      <c r="BE45" s="48"/>
      <c r="BF45" s="48"/>
      <c r="BG45" s="48"/>
      <c r="BH45" s="48"/>
      <c r="BI45" s="48"/>
      <c r="BJ45" s="48"/>
      <c r="BK45" s="48" t="s">
        <v>1347</v>
      </c>
      <c r="BL45" s="48" t="s">
        <v>1347</v>
      </c>
      <c r="BM45" s="119" t="s">
        <v>1431</v>
      </c>
      <c r="BN45" s="119" t="s">
        <v>1431</v>
      </c>
      <c r="BO45" s="119" t="s">
        <v>1549</v>
      </c>
      <c r="BP45" s="119" t="s">
        <v>1549</v>
      </c>
      <c r="BQ45" s="2"/>
      <c r="BR45" s="3"/>
      <c r="BS45" s="3"/>
      <c r="BT45" s="3"/>
      <c r="BU45" s="3"/>
    </row>
    <row r="46" spans="1:73" ht="15">
      <c r="A46" s="66" t="s">
        <v>806</v>
      </c>
      <c r="B46" s="67"/>
      <c r="C46" s="67"/>
      <c r="D46" s="68">
        <v>200</v>
      </c>
      <c r="E46" s="124"/>
      <c r="F46" s="98" t="str">
        <f>HYPERLINK("https://yt3.ggpht.com/a/AATXAJxMCOtMNZQFd6ZI7qQrc6h24T0lgQfBM9YZiQ=s88-c-k-c0xffffffff-no-rj-mo")</f>
        <v>https://yt3.ggpht.com/a/AATXAJxMCOtMNZQFd6ZI7qQrc6h24T0lgQfBM9YZiQ=s88-c-k-c0xffffffff-no-rj-mo</v>
      </c>
      <c r="G46" s="125"/>
      <c r="H46" s="71" t="s">
        <v>1113</v>
      </c>
      <c r="I46" s="72"/>
      <c r="J46" s="126" t="s">
        <v>159</v>
      </c>
      <c r="K46" s="71" t="s">
        <v>1113</v>
      </c>
      <c r="L46" s="127">
        <v>1</v>
      </c>
      <c r="M46" s="76">
        <v>4022.9521484375</v>
      </c>
      <c r="N46" s="76">
        <v>8352.1572265625</v>
      </c>
      <c r="O46" s="77"/>
      <c r="P46" s="78"/>
      <c r="Q46" s="78"/>
      <c r="R46" s="128"/>
      <c r="S46" s="48">
        <v>0</v>
      </c>
      <c r="T46" s="48">
        <v>1</v>
      </c>
      <c r="U46" s="49">
        <v>0</v>
      </c>
      <c r="V46" s="49">
        <v>0.002591</v>
      </c>
      <c r="W46" s="49">
        <v>0.002312</v>
      </c>
      <c r="X46" s="49">
        <v>0.452494</v>
      </c>
      <c r="Y46" s="49">
        <v>0</v>
      </c>
      <c r="Z46" s="49">
        <v>0</v>
      </c>
      <c r="AA46" s="73">
        <v>46</v>
      </c>
      <c r="AB46" s="73"/>
      <c r="AC46" s="74"/>
      <c r="AD46" s="90" t="s">
        <v>1113</v>
      </c>
      <c r="AE46" s="90"/>
      <c r="AF46" s="90"/>
      <c r="AG46" s="90"/>
      <c r="AH46" s="90"/>
      <c r="AI46" s="90"/>
      <c r="AJ46" s="96">
        <v>39947.908483796295</v>
      </c>
      <c r="AK46" s="93" t="str">
        <f>HYPERLINK("https://yt3.ggpht.com/a/AATXAJxMCOtMNZQFd6ZI7qQrc6h24T0lgQfBM9YZiQ=s88-c-k-c0xffffffff-no-rj-mo")</f>
        <v>https://yt3.ggpht.com/a/AATXAJxMCOtMNZQFd6ZI7qQrc6h24T0lgQfBM9YZiQ=s88-c-k-c0xffffffff-no-rj-mo</v>
      </c>
      <c r="AL46" s="90">
        <v>0</v>
      </c>
      <c r="AM46" s="90">
        <v>0</v>
      </c>
      <c r="AN46" s="90">
        <v>2</v>
      </c>
      <c r="AO46" s="90" t="b">
        <v>0</v>
      </c>
      <c r="AP46" s="90">
        <v>0</v>
      </c>
      <c r="AQ46" s="90"/>
      <c r="AR46" s="90"/>
      <c r="AS46" s="90" t="s">
        <v>341</v>
      </c>
      <c r="AT46" s="93" t="str">
        <f>HYPERLINK("https://www.youtube.com/channel/UCP4dWyJzFjajeL-6LZpaxxg")</f>
        <v>https://www.youtube.com/channel/UCP4dWyJzFjajeL-6LZpaxxg</v>
      </c>
      <c r="AU46" s="89" t="str">
        <f>REPLACE(INDEX(GroupVertices[Group],MATCH(Vertices[[#This Row],[Vertex]],GroupVertices[Vertex],0)),1,1,"")</f>
        <v>3</v>
      </c>
      <c r="AV46" s="48">
        <v>2</v>
      </c>
      <c r="AW46" s="49">
        <v>4.25531914893617</v>
      </c>
      <c r="AX46" s="48">
        <v>3</v>
      </c>
      <c r="AY46" s="49">
        <v>6.382978723404255</v>
      </c>
      <c r="AZ46" s="48">
        <v>0</v>
      </c>
      <c r="BA46" s="49">
        <v>0</v>
      </c>
      <c r="BB46" s="48">
        <v>42</v>
      </c>
      <c r="BC46" s="49">
        <v>89.36170212765957</v>
      </c>
      <c r="BD46" s="48">
        <v>47</v>
      </c>
      <c r="BE46" s="48"/>
      <c r="BF46" s="48"/>
      <c r="BG46" s="48"/>
      <c r="BH46" s="48"/>
      <c r="BI46" s="48"/>
      <c r="BJ46" s="48"/>
      <c r="BK46" s="48" t="s">
        <v>1347</v>
      </c>
      <c r="BL46" s="48" t="s">
        <v>1347</v>
      </c>
      <c r="BM46" s="119" t="s">
        <v>1432</v>
      </c>
      <c r="BN46" s="119" t="s">
        <v>1432</v>
      </c>
      <c r="BO46" s="119" t="s">
        <v>1550</v>
      </c>
      <c r="BP46" s="119" t="s">
        <v>1550</v>
      </c>
      <c r="BQ46" s="2"/>
      <c r="BR46" s="3"/>
      <c r="BS46" s="3"/>
      <c r="BT46" s="3"/>
      <c r="BU46" s="3"/>
    </row>
    <row r="47" spans="1:73" ht="15">
      <c r="A47" s="66" t="s">
        <v>807</v>
      </c>
      <c r="B47" s="67"/>
      <c r="C47" s="67"/>
      <c r="D47" s="68">
        <v>200</v>
      </c>
      <c r="E47" s="124"/>
      <c r="F47" s="98" t="str">
        <f>HYPERLINK("https://yt3.ggpht.com/a/AATXAJyrRyezfNHCetrrS8vLrObVrwyB8zMgN62Y6Q=s88-c-k-c0xffffffff-no-rj-mo")</f>
        <v>https://yt3.ggpht.com/a/AATXAJyrRyezfNHCetrrS8vLrObVrwyB8zMgN62Y6Q=s88-c-k-c0xffffffff-no-rj-mo</v>
      </c>
      <c r="G47" s="125"/>
      <c r="H47" s="71" t="s">
        <v>1114</v>
      </c>
      <c r="I47" s="72"/>
      <c r="J47" s="126" t="s">
        <v>159</v>
      </c>
      <c r="K47" s="71" t="s">
        <v>1114</v>
      </c>
      <c r="L47" s="127">
        <v>1</v>
      </c>
      <c r="M47" s="76">
        <v>4526.50146484375</v>
      </c>
      <c r="N47" s="76">
        <v>9617.1533203125</v>
      </c>
      <c r="O47" s="77"/>
      <c r="P47" s="78"/>
      <c r="Q47" s="78"/>
      <c r="R47" s="128"/>
      <c r="S47" s="48">
        <v>0</v>
      </c>
      <c r="T47" s="48">
        <v>1</v>
      </c>
      <c r="U47" s="49">
        <v>0</v>
      </c>
      <c r="V47" s="49">
        <v>0.002591</v>
      </c>
      <c r="W47" s="49">
        <v>0.002312</v>
      </c>
      <c r="X47" s="49">
        <v>0.452494</v>
      </c>
      <c r="Y47" s="49">
        <v>0</v>
      </c>
      <c r="Z47" s="49">
        <v>0</v>
      </c>
      <c r="AA47" s="73">
        <v>47</v>
      </c>
      <c r="AB47" s="73"/>
      <c r="AC47" s="74"/>
      <c r="AD47" s="90" t="s">
        <v>1114</v>
      </c>
      <c r="AE47" s="90"/>
      <c r="AF47" s="90"/>
      <c r="AG47" s="90"/>
      <c r="AH47" s="90"/>
      <c r="AI47" s="90"/>
      <c r="AJ47" s="96">
        <v>43568.60457175926</v>
      </c>
      <c r="AK47" s="93" t="str">
        <f>HYPERLINK("https://yt3.ggpht.com/a/AATXAJyrRyezfNHCetrrS8vLrObVrwyB8zMgN62Y6Q=s88-c-k-c0xffffffff-no-rj-mo")</f>
        <v>https://yt3.ggpht.com/a/AATXAJyrRyezfNHCetrrS8vLrObVrwyB8zMgN62Y6Q=s88-c-k-c0xffffffff-no-rj-mo</v>
      </c>
      <c r="AL47" s="90">
        <v>0</v>
      </c>
      <c r="AM47" s="90">
        <v>0</v>
      </c>
      <c r="AN47" s="90">
        <v>0</v>
      </c>
      <c r="AO47" s="90" t="b">
        <v>0</v>
      </c>
      <c r="AP47" s="90">
        <v>0</v>
      </c>
      <c r="AQ47" s="90"/>
      <c r="AR47" s="90"/>
      <c r="AS47" s="90" t="s">
        <v>341</v>
      </c>
      <c r="AT47" s="93" t="str">
        <f>HYPERLINK("https://www.youtube.com/channel/UCEumYcqRhFB_50mlEbGDCIQ")</f>
        <v>https://www.youtube.com/channel/UCEumYcqRhFB_50mlEbGDCIQ</v>
      </c>
      <c r="AU47" s="89" t="str">
        <f>REPLACE(INDEX(GroupVertices[Group],MATCH(Vertices[[#This Row],[Vertex]],GroupVertices[Vertex],0)),1,1,"")</f>
        <v>3</v>
      </c>
      <c r="AV47" s="48">
        <v>0</v>
      </c>
      <c r="AW47" s="49">
        <v>0</v>
      </c>
      <c r="AX47" s="48">
        <v>0</v>
      </c>
      <c r="AY47" s="49">
        <v>0</v>
      </c>
      <c r="AZ47" s="48">
        <v>0</v>
      </c>
      <c r="BA47" s="49">
        <v>0</v>
      </c>
      <c r="BB47" s="48">
        <v>15</v>
      </c>
      <c r="BC47" s="49">
        <v>100</v>
      </c>
      <c r="BD47" s="48">
        <v>15</v>
      </c>
      <c r="BE47" s="48"/>
      <c r="BF47" s="48"/>
      <c r="BG47" s="48"/>
      <c r="BH47" s="48"/>
      <c r="BI47" s="48"/>
      <c r="BJ47" s="48"/>
      <c r="BK47" s="48" t="s">
        <v>1347</v>
      </c>
      <c r="BL47" s="48" t="s">
        <v>1347</v>
      </c>
      <c r="BM47" s="119" t="s">
        <v>1433</v>
      </c>
      <c r="BN47" s="119" t="s">
        <v>1433</v>
      </c>
      <c r="BO47" s="119" t="s">
        <v>1551</v>
      </c>
      <c r="BP47" s="119" t="s">
        <v>1551</v>
      </c>
      <c r="BQ47" s="2"/>
      <c r="BR47" s="3"/>
      <c r="BS47" s="3"/>
      <c r="BT47" s="3"/>
      <c r="BU47" s="3"/>
    </row>
    <row r="48" spans="1:73" ht="15">
      <c r="A48" s="66" t="s">
        <v>809</v>
      </c>
      <c r="B48" s="67"/>
      <c r="C48" s="67"/>
      <c r="D48" s="68">
        <v>200</v>
      </c>
      <c r="E48" s="124"/>
      <c r="F48" s="98" t="str">
        <f>HYPERLINK("https://yt3.ggpht.com/a/AATXAJwXG9e5ybHVJz7OwuirkAsZiPGTXLhQfAfeIQ=s88-c-k-c0xffffffff-no-rj-mo")</f>
        <v>https://yt3.ggpht.com/a/AATXAJwXG9e5ybHVJz7OwuirkAsZiPGTXLhQfAfeIQ=s88-c-k-c0xffffffff-no-rj-mo</v>
      </c>
      <c r="G48" s="125"/>
      <c r="H48" s="71" t="s">
        <v>1116</v>
      </c>
      <c r="I48" s="72"/>
      <c r="J48" s="126" t="s">
        <v>159</v>
      </c>
      <c r="K48" s="71" t="s">
        <v>1116</v>
      </c>
      <c r="L48" s="127">
        <v>1</v>
      </c>
      <c r="M48" s="76">
        <v>179.3875732421875</v>
      </c>
      <c r="N48" s="76">
        <v>7335.4619140625</v>
      </c>
      <c r="O48" s="77"/>
      <c r="P48" s="78"/>
      <c r="Q48" s="78"/>
      <c r="R48" s="128"/>
      <c r="S48" s="48">
        <v>0</v>
      </c>
      <c r="T48" s="48">
        <v>1</v>
      </c>
      <c r="U48" s="49">
        <v>0</v>
      </c>
      <c r="V48" s="49">
        <v>0.002538</v>
      </c>
      <c r="W48" s="49">
        <v>0.00189</v>
      </c>
      <c r="X48" s="49">
        <v>0.464093</v>
      </c>
      <c r="Y48" s="49">
        <v>0</v>
      </c>
      <c r="Z48" s="49">
        <v>0</v>
      </c>
      <c r="AA48" s="73">
        <v>48</v>
      </c>
      <c r="AB48" s="73"/>
      <c r="AC48" s="74"/>
      <c r="AD48" s="90" t="s">
        <v>1116</v>
      </c>
      <c r="AE48" s="90"/>
      <c r="AF48" s="90"/>
      <c r="AG48" s="90"/>
      <c r="AH48" s="90"/>
      <c r="AI48" s="90"/>
      <c r="AJ48" s="96">
        <v>39693.93273148148</v>
      </c>
      <c r="AK48" s="93" t="str">
        <f>HYPERLINK("https://yt3.ggpht.com/a/AATXAJwXG9e5ybHVJz7OwuirkAsZiPGTXLhQfAfeIQ=s88-c-k-c0xffffffff-no-rj-mo")</f>
        <v>https://yt3.ggpht.com/a/AATXAJwXG9e5ybHVJz7OwuirkAsZiPGTXLhQfAfeIQ=s88-c-k-c0xffffffff-no-rj-mo</v>
      </c>
      <c r="AL48" s="90">
        <v>0</v>
      </c>
      <c r="AM48" s="90">
        <v>0</v>
      </c>
      <c r="AN48" s="90">
        <v>0</v>
      </c>
      <c r="AO48" s="90" t="b">
        <v>0</v>
      </c>
      <c r="AP48" s="90">
        <v>0</v>
      </c>
      <c r="AQ48" s="90"/>
      <c r="AR48" s="90"/>
      <c r="AS48" s="90" t="s">
        <v>341</v>
      </c>
      <c r="AT48" s="93" t="str">
        <f>HYPERLINK("https://www.youtube.com/channel/UCS7JpwViCLoWo4cGVGzMGDQ")</f>
        <v>https://www.youtube.com/channel/UCS7JpwViCLoWo4cGVGzMGDQ</v>
      </c>
      <c r="AU48" s="89" t="str">
        <f>REPLACE(INDEX(GroupVertices[Group],MATCH(Vertices[[#This Row],[Vertex]],GroupVertices[Vertex],0)),1,1,"")</f>
        <v>1</v>
      </c>
      <c r="AV48" s="48">
        <v>6</v>
      </c>
      <c r="AW48" s="49">
        <v>5.172413793103448</v>
      </c>
      <c r="AX48" s="48">
        <v>5</v>
      </c>
      <c r="AY48" s="49">
        <v>4.310344827586207</v>
      </c>
      <c r="AZ48" s="48">
        <v>0</v>
      </c>
      <c r="BA48" s="49">
        <v>0</v>
      </c>
      <c r="BB48" s="48">
        <v>105</v>
      </c>
      <c r="BC48" s="49">
        <v>90.51724137931035</v>
      </c>
      <c r="BD48" s="48">
        <v>116</v>
      </c>
      <c r="BE48" s="48"/>
      <c r="BF48" s="48"/>
      <c r="BG48" s="48"/>
      <c r="BH48" s="48"/>
      <c r="BI48" s="48"/>
      <c r="BJ48" s="48"/>
      <c r="BK48" s="48" t="s">
        <v>1347</v>
      </c>
      <c r="BL48" s="48" t="s">
        <v>1347</v>
      </c>
      <c r="BM48" s="119" t="s">
        <v>1434</v>
      </c>
      <c r="BN48" s="119" t="s">
        <v>1434</v>
      </c>
      <c r="BO48" s="119" t="s">
        <v>1552</v>
      </c>
      <c r="BP48" s="119" t="s">
        <v>1552</v>
      </c>
      <c r="BQ48" s="2"/>
      <c r="BR48" s="3"/>
      <c r="BS48" s="3"/>
      <c r="BT48" s="3"/>
      <c r="BU48" s="3"/>
    </row>
    <row r="49" spans="1:73" ht="15">
      <c r="A49" s="66" t="s">
        <v>810</v>
      </c>
      <c r="B49" s="67"/>
      <c r="C49" s="67"/>
      <c r="D49" s="68">
        <v>520</v>
      </c>
      <c r="E49" s="124"/>
      <c r="F49" s="98" t="str">
        <f>HYPERLINK("https://yt3.ggpht.com/a/AATXAJzjF7ADpZYQxpLVf7qdQWyzYTxv09ydm9qJgw=s88-c-k-c0xffffffff-no-rj-mo")</f>
        <v>https://yt3.ggpht.com/a/AATXAJzjF7ADpZYQxpLVf7qdQWyzYTxv09ydm9qJgw=s88-c-k-c0xffffffff-no-rj-mo</v>
      </c>
      <c r="G49" s="125"/>
      <c r="H49" s="71" t="s">
        <v>1117</v>
      </c>
      <c r="I49" s="72"/>
      <c r="J49" s="126" t="s">
        <v>75</v>
      </c>
      <c r="K49" s="71" t="s">
        <v>1117</v>
      </c>
      <c r="L49" s="127">
        <v>477.0952380952381</v>
      </c>
      <c r="M49" s="76">
        <v>1125.1595458984375</v>
      </c>
      <c r="N49" s="76">
        <v>7017.23681640625</v>
      </c>
      <c r="O49" s="77"/>
      <c r="P49" s="78"/>
      <c r="Q49" s="78"/>
      <c r="R49" s="128"/>
      <c r="S49" s="48">
        <v>2</v>
      </c>
      <c r="T49" s="48">
        <v>2</v>
      </c>
      <c r="U49" s="49">
        <v>218</v>
      </c>
      <c r="V49" s="49">
        <v>0.003509</v>
      </c>
      <c r="W49" s="49">
        <v>0.014145</v>
      </c>
      <c r="X49" s="49">
        <v>1.108566</v>
      </c>
      <c r="Y49" s="49">
        <v>0</v>
      </c>
      <c r="Z49" s="49">
        <v>0</v>
      </c>
      <c r="AA49" s="73">
        <v>49</v>
      </c>
      <c r="AB49" s="73"/>
      <c r="AC49" s="74"/>
      <c r="AD49" s="90" t="s">
        <v>1117</v>
      </c>
      <c r="AE49" s="90" t="s">
        <v>1240</v>
      </c>
      <c r="AF49" s="90"/>
      <c r="AG49" s="90"/>
      <c r="AH49" s="90"/>
      <c r="AI49" s="90"/>
      <c r="AJ49" s="96">
        <v>43506.077673611115</v>
      </c>
      <c r="AK49" s="93" t="str">
        <f>HYPERLINK("https://yt3.ggpht.com/a/AATXAJzjF7ADpZYQxpLVf7qdQWyzYTxv09ydm9qJgw=s88-c-k-c0xffffffff-no-rj-mo")</f>
        <v>https://yt3.ggpht.com/a/AATXAJzjF7ADpZYQxpLVf7qdQWyzYTxv09ydm9qJgw=s88-c-k-c0xffffffff-no-rj-mo</v>
      </c>
      <c r="AL49" s="90">
        <v>0</v>
      </c>
      <c r="AM49" s="90">
        <v>0</v>
      </c>
      <c r="AN49" s="90">
        <v>8</v>
      </c>
      <c r="AO49" s="90" t="b">
        <v>0</v>
      </c>
      <c r="AP49" s="90">
        <v>0</v>
      </c>
      <c r="AQ49" s="90"/>
      <c r="AR49" s="90"/>
      <c r="AS49" s="90" t="s">
        <v>341</v>
      </c>
      <c r="AT49" s="93" t="str">
        <f>HYPERLINK("https://www.youtube.com/channel/UCVkBNuh0NbeouMbE8fjGm8w")</f>
        <v>https://www.youtube.com/channel/UCVkBNuh0NbeouMbE8fjGm8w</v>
      </c>
      <c r="AU49" s="89" t="str">
        <f>REPLACE(INDEX(GroupVertices[Group],MATCH(Vertices[[#This Row],[Vertex]],GroupVertices[Vertex],0)),1,1,"")</f>
        <v>1</v>
      </c>
      <c r="AV49" s="48">
        <v>1</v>
      </c>
      <c r="AW49" s="49">
        <v>1.1904761904761905</v>
      </c>
      <c r="AX49" s="48">
        <v>1</v>
      </c>
      <c r="AY49" s="49">
        <v>1.1904761904761905</v>
      </c>
      <c r="AZ49" s="48">
        <v>0</v>
      </c>
      <c r="BA49" s="49">
        <v>0</v>
      </c>
      <c r="BB49" s="48">
        <v>82</v>
      </c>
      <c r="BC49" s="49">
        <v>97.61904761904762</v>
      </c>
      <c r="BD49" s="48">
        <v>84</v>
      </c>
      <c r="BE49" s="48"/>
      <c r="BF49" s="48"/>
      <c r="BG49" s="48"/>
      <c r="BH49" s="48"/>
      <c r="BI49" s="48"/>
      <c r="BJ49" s="48"/>
      <c r="BK49" s="48" t="s">
        <v>1347</v>
      </c>
      <c r="BL49" s="48" t="s">
        <v>1347</v>
      </c>
      <c r="BM49" s="119" t="s">
        <v>1435</v>
      </c>
      <c r="BN49" s="119" t="s">
        <v>1499</v>
      </c>
      <c r="BO49" s="119" t="s">
        <v>1553</v>
      </c>
      <c r="BP49" s="119" t="s">
        <v>1553</v>
      </c>
      <c r="BQ49" s="2"/>
      <c r="BR49" s="3"/>
      <c r="BS49" s="3"/>
      <c r="BT49" s="3"/>
      <c r="BU49" s="3"/>
    </row>
    <row r="50" spans="1:73" ht="15">
      <c r="A50" s="66" t="s">
        <v>811</v>
      </c>
      <c r="B50" s="67"/>
      <c r="C50" s="67"/>
      <c r="D50" s="68">
        <v>200</v>
      </c>
      <c r="E50" s="124"/>
      <c r="F50" s="98" t="str">
        <f>HYPERLINK("https://yt3.ggpht.com/a/AATXAJz3KeytMeoUDE-pHR11firCIaLl5107mHS0-VKd9po=s88-c-k-c0xffffffff-no-rj-mo")</f>
        <v>https://yt3.ggpht.com/a/AATXAJz3KeytMeoUDE-pHR11firCIaLl5107mHS0-VKd9po=s88-c-k-c0xffffffff-no-rj-mo</v>
      </c>
      <c r="G50" s="125"/>
      <c r="H50" s="71" t="s">
        <v>1118</v>
      </c>
      <c r="I50" s="72"/>
      <c r="J50" s="126" t="s">
        <v>159</v>
      </c>
      <c r="K50" s="71" t="s">
        <v>1118</v>
      </c>
      <c r="L50" s="127">
        <v>1</v>
      </c>
      <c r="M50" s="76">
        <v>3438.130615234375</v>
      </c>
      <c r="N50" s="76">
        <v>508.46636962890625</v>
      </c>
      <c r="O50" s="77"/>
      <c r="P50" s="78"/>
      <c r="Q50" s="78"/>
      <c r="R50" s="128"/>
      <c r="S50" s="48">
        <v>0</v>
      </c>
      <c r="T50" s="48">
        <v>1</v>
      </c>
      <c r="U50" s="49">
        <v>0</v>
      </c>
      <c r="V50" s="49">
        <v>0.002591</v>
      </c>
      <c r="W50" s="49">
        <v>0.002857</v>
      </c>
      <c r="X50" s="49">
        <v>0.413012</v>
      </c>
      <c r="Y50" s="49">
        <v>0</v>
      </c>
      <c r="Z50" s="49">
        <v>0</v>
      </c>
      <c r="AA50" s="73">
        <v>50</v>
      </c>
      <c r="AB50" s="73"/>
      <c r="AC50" s="74"/>
      <c r="AD50" s="90" t="s">
        <v>1118</v>
      </c>
      <c r="AE50" s="90"/>
      <c r="AF50" s="90"/>
      <c r="AG50" s="90"/>
      <c r="AH50" s="90"/>
      <c r="AI50" s="90"/>
      <c r="AJ50" s="96">
        <v>40779.702673611115</v>
      </c>
      <c r="AK50" s="93" t="str">
        <f>HYPERLINK("https://yt3.ggpht.com/a/AATXAJz3KeytMeoUDE-pHR11firCIaLl5107mHS0-VKd9po=s88-c-k-c0xffffffff-no-rj-mo")</f>
        <v>https://yt3.ggpht.com/a/AATXAJz3KeytMeoUDE-pHR11firCIaLl5107mHS0-VKd9po=s88-c-k-c0xffffffff-no-rj-mo</v>
      </c>
      <c r="AL50" s="90">
        <v>0</v>
      </c>
      <c r="AM50" s="90">
        <v>0</v>
      </c>
      <c r="AN50" s="90">
        <v>5</v>
      </c>
      <c r="AO50" s="90" t="b">
        <v>0</v>
      </c>
      <c r="AP50" s="90">
        <v>0</v>
      </c>
      <c r="AQ50" s="90"/>
      <c r="AR50" s="90"/>
      <c r="AS50" s="90" t="s">
        <v>341</v>
      </c>
      <c r="AT50" s="93" t="str">
        <f>HYPERLINK("https://www.youtube.com/channel/UCaV83QCCICMomi4nDLmMIPg")</f>
        <v>https://www.youtube.com/channel/UCaV83QCCICMomi4nDLmMIPg</v>
      </c>
      <c r="AU50" s="89" t="str">
        <f>REPLACE(INDEX(GroupVertices[Group],MATCH(Vertices[[#This Row],[Vertex]],GroupVertices[Vertex],0)),1,1,"")</f>
        <v>2</v>
      </c>
      <c r="AV50" s="48">
        <v>2</v>
      </c>
      <c r="AW50" s="49">
        <v>4.761904761904762</v>
      </c>
      <c r="AX50" s="48">
        <v>2</v>
      </c>
      <c r="AY50" s="49">
        <v>4.761904761904762</v>
      </c>
      <c r="AZ50" s="48">
        <v>0</v>
      </c>
      <c r="BA50" s="49">
        <v>0</v>
      </c>
      <c r="BB50" s="48">
        <v>38</v>
      </c>
      <c r="BC50" s="49">
        <v>90.47619047619048</v>
      </c>
      <c r="BD50" s="48">
        <v>42</v>
      </c>
      <c r="BE50" s="48"/>
      <c r="BF50" s="48"/>
      <c r="BG50" s="48"/>
      <c r="BH50" s="48"/>
      <c r="BI50" s="48"/>
      <c r="BJ50" s="48"/>
      <c r="BK50" s="48" t="s">
        <v>686</v>
      </c>
      <c r="BL50" s="48" t="s">
        <v>686</v>
      </c>
      <c r="BM50" s="119" t="s">
        <v>1436</v>
      </c>
      <c r="BN50" s="119" t="s">
        <v>1436</v>
      </c>
      <c r="BO50" s="119" t="s">
        <v>1554</v>
      </c>
      <c r="BP50" s="119" t="s">
        <v>1554</v>
      </c>
      <c r="BQ50" s="2"/>
      <c r="BR50" s="3"/>
      <c r="BS50" s="3"/>
      <c r="BT50" s="3"/>
      <c r="BU50" s="3"/>
    </row>
    <row r="51" spans="1:73" ht="15">
      <c r="A51" s="66" t="s">
        <v>814</v>
      </c>
      <c r="B51" s="67"/>
      <c r="C51" s="67"/>
      <c r="D51" s="68">
        <v>1000</v>
      </c>
      <c r="E51" s="124"/>
      <c r="F51" s="98" t="str">
        <f>HYPERLINK("https://yt3.ggpht.com/a/AATXAJzQgCYTGQJy1VSlll665qoJrVlkXb0R0G3Bkw=s88-c-k-c0xffffffff-no-rj-mo")</f>
        <v>https://yt3.ggpht.com/a/AATXAJzQgCYTGQJy1VSlll665qoJrVlkXb0R0G3Bkw=s88-c-k-c0xffffffff-no-rj-mo</v>
      </c>
      <c r="G51" s="125"/>
      <c r="H51" s="71" t="s">
        <v>1121</v>
      </c>
      <c r="I51" s="72"/>
      <c r="J51" s="126" t="s">
        <v>75</v>
      </c>
      <c r="K51" s="71" t="s">
        <v>1121</v>
      </c>
      <c r="L51" s="127">
        <v>1429.2857142857142</v>
      </c>
      <c r="M51" s="76">
        <v>2669.832763671875</v>
      </c>
      <c r="N51" s="76">
        <v>1060.1981201171875</v>
      </c>
      <c r="O51" s="77"/>
      <c r="P51" s="78"/>
      <c r="Q51" s="78"/>
      <c r="R51" s="128"/>
      <c r="S51" s="48">
        <v>6</v>
      </c>
      <c r="T51" s="48">
        <v>2</v>
      </c>
      <c r="U51" s="49">
        <v>609.559823</v>
      </c>
      <c r="V51" s="49">
        <v>0.00361</v>
      </c>
      <c r="W51" s="49">
        <v>0.021378</v>
      </c>
      <c r="X51" s="49">
        <v>2.165987</v>
      </c>
      <c r="Y51" s="49">
        <v>0</v>
      </c>
      <c r="Z51" s="49">
        <v>0</v>
      </c>
      <c r="AA51" s="73">
        <v>51</v>
      </c>
      <c r="AB51" s="73"/>
      <c r="AC51" s="74"/>
      <c r="AD51" s="90" t="s">
        <v>1121</v>
      </c>
      <c r="AE51" s="90"/>
      <c r="AF51" s="90"/>
      <c r="AG51" s="90"/>
      <c r="AH51" s="90"/>
      <c r="AI51" s="90"/>
      <c r="AJ51" s="96">
        <v>42763.45673611111</v>
      </c>
      <c r="AK51" s="93" t="str">
        <f>HYPERLINK("https://yt3.ggpht.com/a/AATXAJzQgCYTGQJy1VSlll665qoJrVlkXb0R0G3Bkw=s88-c-k-c0xffffffff-no-rj-mo")</f>
        <v>https://yt3.ggpht.com/a/AATXAJzQgCYTGQJy1VSlll665qoJrVlkXb0R0G3Bkw=s88-c-k-c0xffffffff-no-rj-mo</v>
      </c>
      <c r="AL51" s="90">
        <v>0</v>
      </c>
      <c r="AM51" s="90">
        <v>0</v>
      </c>
      <c r="AN51" s="90">
        <v>0</v>
      </c>
      <c r="AO51" s="90" t="b">
        <v>0</v>
      </c>
      <c r="AP51" s="90">
        <v>0</v>
      </c>
      <c r="AQ51" s="90"/>
      <c r="AR51" s="90"/>
      <c r="AS51" s="90" t="s">
        <v>341</v>
      </c>
      <c r="AT51" s="93" t="str">
        <f>HYPERLINK("https://www.youtube.com/channel/UCKUjp1gdGVpRVCkfcUM35ng")</f>
        <v>https://www.youtube.com/channel/UCKUjp1gdGVpRVCkfcUM35ng</v>
      </c>
      <c r="AU51" s="89" t="str">
        <f>REPLACE(INDEX(GroupVertices[Group],MATCH(Vertices[[#This Row],[Vertex]],GroupVertices[Vertex],0)),1,1,"")</f>
        <v>2</v>
      </c>
      <c r="AV51" s="48">
        <v>5</v>
      </c>
      <c r="AW51" s="49">
        <v>4.201680672268908</v>
      </c>
      <c r="AX51" s="48">
        <v>2</v>
      </c>
      <c r="AY51" s="49">
        <v>1.680672268907563</v>
      </c>
      <c r="AZ51" s="48">
        <v>0</v>
      </c>
      <c r="BA51" s="49">
        <v>0</v>
      </c>
      <c r="BB51" s="48">
        <v>112</v>
      </c>
      <c r="BC51" s="49">
        <v>94.11764705882354</v>
      </c>
      <c r="BD51" s="48">
        <v>119</v>
      </c>
      <c r="BE51" s="48"/>
      <c r="BF51" s="48"/>
      <c r="BG51" s="48"/>
      <c r="BH51" s="48"/>
      <c r="BI51" s="48"/>
      <c r="BJ51" s="48"/>
      <c r="BK51" s="48" t="s">
        <v>1348</v>
      </c>
      <c r="BL51" s="48" t="s">
        <v>1349</v>
      </c>
      <c r="BM51" s="119" t="s">
        <v>1437</v>
      </c>
      <c r="BN51" s="119" t="s">
        <v>1437</v>
      </c>
      <c r="BO51" s="119" t="s">
        <v>1555</v>
      </c>
      <c r="BP51" s="119" t="s">
        <v>1555</v>
      </c>
      <c r="BQ51" s="2"/>
      <c r="BR51" s="3"/>
      <c r="BS51" s="3"/>
      <c r="BT51" s="3"/>
      <c r="BU51" s="3"/>
    </row>
    <row r="52" spans="1:73" ht="15">
      <c r="A52" s="66" t="s">
        <v>812</v>
      </c>
      <c r="B52" s="67"/>
      <c r="C52" s="67"/>
      <c r="D52" s="68">
        <v>200</v>
      </c>
      <c r="E52" s="124"/>
      <c r="F52" s="98" t="str">
        <f>HYPERLINK("https://yt3.ggpht.com/a/AATXAJzZ04GRtNaa6wGO5HAmJdjFGy28afcAaedKhShwYQ=s88-c-k-c0xffffffff-no-rj-mo")</f>
        <v>https://yt3.ggpht.com/a/AATXAJzZ04GRtNaa6wGO5HAmJdjFGy28afcAaedKhShwYQ=s88-c-k-c0xffffffff-no-rj-mo</v>
      </c>
      <c r="G52" s="125"/>
      <c r="H52" s="71" t="s">
        <v>1119</v>
      </c>
      <c r="I52" s="72"/>
      <c r="J52" s="126" t="s">
        <v>159</v>
      </c>
      <c r="K52" s="71" t="s">
        <v>1119</v>
      </c>
      <c r="L52" s="127">
        <v>1</v>
      </c>
      <c r="M52" s="76">
        <v>2820.436279296875</v>
      </c>
      <c r="N52" s="76">
        <v>244.19558715820312</v>
      </c>
      <c r="O52" s="77"/>
      <c r="P52" s="78"/>
      <c r="Q52" s="78"/>
      <c r="R52" s="128"/>
      <c r="S52" s="48">
        <v>0</v>
      </c>
      <c r="T52" s="48">
        <v>1</v>
      </c>
      <c r="U52" s="49">
        <v>0</v>
      </c>
      <c r="V52" s="49">
        <v>0.002591</v>
      </c>
      <c r="W52" s="49">
        <v>0.002857</v>
      </c>
      <c r="X52" s="49">
        <v>0.413012</v>
      </c>
      <c r="Y52" s="49">
        <v>0</v>
      </c>
      <c r="Z52" s="49">
        <v>0</v>
      </c>
      <c r="AA52" s="73">
        <v>52</v>
      </c>
      <c r="AB52" s="73"/>
      <c r="AC52" s="74"/>
      <c r="AD52" s="90" t="s">
        <v>1119</v>
      </c>
      <c r="AE52" s="90"/>
      <c r="AF52" s="90"/>
      <c r="AG52" s="90"/>
      <c r="AH52" s="90"/>
      <c r="AI52" s="90"/>
      <c r="AJ52" s="96">
        <v>42578.924525462964</v>
      </c>
      <c r="AK52" s="93" t="str">
        <f>HYPERLINK("https://yt3.ggpht.com/a/AATXAJzZ04GRtNaa6wGO5HAmJdjFGy28afcAaedKhShwYQ=s88-c-k-c0xffffffff-no-rj-mo")</f>
        <v>https://yt3.ggpht.com/a/AATXAJzZ04GRtNaa6wGO5HAmJdjFGy28afcAaedKhShwYQ=s88-c-k-c0xffffffff-no-rj-mo</v>
      </c>
      <c r="AL52" s="90">
        <v>0</v>
      </c>
      <c r="AM52" s="90">
        <v>0</v>
      </c>
      <c r="AN52" s="90">
        <v>21</v>
      </c>
      <c r="AO52" s="90" t="b">
        <v>0</v>
      </c>
      <c r="AP52" s="90">
        <v>0</v>
      </c>
      <c r="AQ52" s="90"/>
      <c r="AR52" s="90"/>
      <c r="AS52" s="90" t="s">
        <v>341</v>
      </c>
      <c r="AT52" s="93" t="str">
        <f>HYPERLINK("https://www.youtube.com/channel/UCLs7cpOjbykXTker--7B7Rw")</f>
        <v>https://www.youtube.com/channel/UCLs7cpOjbykXTker--7B7Rw</v>
      </c>
      <c r="AU52" s="89" t="str">
        <f>REPLACE(INDEX(GroupVertices[Group],MATCH(Vertices[[#This Row],[Vertex]],GroupVertices[Vertex],0)),1,1,"")</f>
        <v>2</v>
      </c>
      <c r="AV52" s="48">
        <v>4</v>
      </c>
      <c r="AW52" s="49">
        <v>7.407407407407407</v>
      </c>
      <c r="AX52" s="48">
        <v>1</v>
      </c>
      <c r="AY52" s="49">
        <v>1.8518518518518519</v>
      </c>
      <c r="AZ52" s="48">
        <v>0</v>
      </c>
      <c r="BA52" s="49">
        <v>0</v>
      </c>
      <c r="BB52" s="48">
        <v>49</v>
      </c>
      <c r="BC52" s="49">
        <v>90.74074074074075</v>
      </c>
      <c r="BD52" s="48">
        <v>54</v>
      </c>
      <c r="BE52" s="48"/>
      <c r="BF52" s="48"/>
      <c r="BG52" s="48"/>
      <c r="BH52" s="48"/>
      <c r="BI52" s="48"/>
      <c r="BJ52" s="48"/>
      <c r="BK52" s="48" t="s">
        <v>686</v>
      </c>
      <c r="BL52" s="48" t="s">
        <v>686</v>
      </c>
      <c r="BM52" s="119" t="s">
        <v>1438</v>
      </c>
      <c r="BN52" s="119" t="s">
        <v>1438</v>
      </c>
      <c r="BO52" s="119" t="s">
        <v>1556</v>
      </c>
      <c r="BP52" s="119" t="s">
        <v>1556</v>
      </c>
      <c r="BQ52" s="2"/>
      <c r="BR52" s="3"/>
      <c r="BS52" s="3"/>
      <c r="BT52" s="3"/>
      <c r="BU52" s="3"/>
    </row>
    <row r="53" spans="1:73" ht="15">
      <c r="A53" s="66" t="s">
        <v>813</v>
      </c>
      <c r="B53" s="67"/>
      <c r="C53" s="67"/>
      <c r="D53" s="68">
        <v>200</v>
      </c>
      <c r="E53" s="124"/>
      <c r="F53" s="98" t="str">
        <f>HYPERLINK("https://yt3.ggpht.com/a/AATXAJzRVAP0Lr5ZroKTolzDK8WSjXMMmpgZrFrzaA=s88-c-k-c0xffffffff-no-rj-mo")</f>
        <v>https://yt3.ggpht.com/a/AATXAJzRVAP0Lr5ZroKTolzDK8WSjXMMmpgZrFrzaA=s88-c-k-c0xffffffff-no-rj-mo</v>
      </c>
      <c r="G53" s="125"/>
      <c r="H53" s="71" t="s">
        <v>1120</v>
      </c>
      <c r="I53" s="72"/>
      <c r="J53" s="126" t="s">
        <v>159</v>
      </c>
      <c r="K53" s="71" t="s">
        <v>1120</v>
      </c>
      <c r="L53" s="127">
        <v>1</v>
      </c>
      <c r="M53" s="76">
        <v>1703.840576171875</v>
      </c>
      <c r="N53" s="76">
        <v>740.9614868164062</v>
      </c>
      <c r="O53" s="77"/>
      <c r="P53" s="78"/>
      <c r="Q53" s="78"/>
      <c r="R53" s="128"/>
      <c r="S53" s="48">
        <v>0</v>
      </c>
      <c r="T53" s="48">
        <v>2</v>
      </c>
      <c r="U53" s="49">
        <v>12.791538</v>
      </c>
      <c r="V53" s="49">
        <v>0.002674</v>
      </c>
      <c r="W53" s="49">
        <v>0.005149</v>
      </c>
      <c r="X53" s="49">
        <v>0.683855</v>
      </c>
      <c r="Y53" s="49">
        <v>0</v>
      </c>
      <c r="Z53" s="49">
        <v>0</v>
      </c>
      <c r="AA53" s="73">
        <v>53</v>
      </c>
      <c r="AB53" s="73"/>
      <c r="AC53" s="74"/>
      <c r="AD53" s="90" t="s">
        <v>1120</v>
      </c>
      <c r="AE53" s="90"/>
      <c r="AF53" s="90"/>
      <c r="AG53" s="90"/>
      <c r="AH53" s="90"/>
      <c r="AI53" s="90"/>
      <c r="AJ53" s="96">
        <v>42508.13443287037</v>
      </c>
      <c r="AK53" s="93" t="str">
        <f>HYPERLINK("https://yt3.ggpht.com/a/AATXAJzRVAP0Lr5ZroKTolzDK8WSjXMMmpgZrFrzaA=s88-c-k-c0xffffffff-no-rj-mo")</f>
        <v>https://yt3.ggpht.com/a/AATXAJzRVAP0Lr5ZroKTolzDK8WSjXMMmpgZrFrzaA=s88-c-k-c0xffffffff-no-rj-mo</v>
      </c>
      <c r="AL53" s="90">
        <v>0</v>
      </c>
      <c r="AM53" s="90">
        <v>0</v>
      </c>
      <c r="AN53" s="90">
        <v>10</v>
      </c>
      <c r="AO53" s="90" t="b">
        <v>0</v>
      </c>
      <c r="AP53" s="90">
        <v>0</v>
      </c>
      <c r="AQ53" s="90"/>
      <c r="AR53" s="90"/>
      <c r="AS53" s="90" t="s">
        <v>341</v>
      </c>
      <c r="AT53" s="93" t="str">
        <f>HYPERLINK("https://www.youtube.com/channel/UC1wz07fnWZJCU2E6pDUHv6A")</f>
        <v>https://www.youtube.com/channel/UC1wz07fnWZJCU2E6pDUHv6A</v>
      </c>
      <c r="AU53" s="89" t="str">
        <f>REPLACE(INDEX(GroupVertices[Group],MATCH(Vertices[[#This Row],[Vertex]],GroupVertices[Vertex],0)),1,1,"")</f>
        <v>2</v>
      </c>
      <c r="AV53" s="48">
        <v>2</v>
      </c>
      <c r="AW53" s="49">
        <v>2.3255813953488373</v>
      </c>
      <c r="AX53" s="48">
        <v>2</v>
      </c>
      <c r="AY53" s="49">
        <v>2.3255813953488373</v>
      </c>
      <c r="AZ53" s="48">
        <v>0</v>
      </c>
      <c r="BA53" s="49">
        <v>0</v>
      </c>
      <c r="BB53" s="48">
        <v>82</v>
      </c>
      <c r="BC53" s="49">
        <v>95.34883720930233</v>
      </c>
      <c r="BD53" s="48">
        <v>86</v>
      </c>
      <c r="BE53" s="48"/>
      <c r="BF53" s="48"/>
      <c r="BG53" s="48"/>
      <c r="BH53" s="48"/>
      <c r="BI53" s="48"/>
      <c r="BJ53" s="48"/>
      <c r="BK53" s="48" t="s">
        <v>1349</v>
      </c>
      <c r="BL53" s="48" t="s">
        <v>1349</v>
      </c>
      <c r="BM53" s="119" t="s">
        <v>1439</v>
      </c>
      <c r="BN53" s="119" t="s">
        <v>1439</v>
      </c>
      <c r="BO53" s="119" t="s">
        <v>1557</v>
      </c>
      <c r="BP53" s="119" t="s">
        <v>1557</v>
      </c>
      <c r="BQ53" s="2"/>
      <c r="BR53" s="3"/>
      <c r="BS53" s="3"/>
      <c r="BT53" s="3"/>
      <c r="BU53" s="3"/>
    </row>
    <row r="54" spans="1:73" ht="15">
      <c r="A54" s="66" t="s">
        <v>815</v>
      </c>
      <c r="B54" s="67"/>
      <c r="C54" s="67"/>
      <c r="D54" s="68">
        <v>200</v>
      </c>
      <c r="E54" s="124"/>
      <c r="F54" s="98" t="str">
        <f>HYPERLINK("https://yt3.ggpht.com/a/AATXAJwV_Dlot9E_vjxVOTRbaHFfb2_AiRgQ2JeEcw=s88-c-k-c0xffffffff-no-rj-mo")</f>
        <v>https://yt3.ggpht.com/a/AATXAJwV_Dlot9E_vjxVOTRbaHFfb2_AiRgQ2JeEcw=s88-c-k-c0xffffffff-no-rj-mo</v>
      </c>
      <c r="G54" s="125"/>
      <c r="H54" s="71" t="s">
        <v>1122</v>
      </c>
      <c r="I54" s="72"/>
      <c r="J54" s="126" t="s">
        <v>159</v>
      </c>
      <c r="K54" s="71" t="s">
        <v>1122</v>
      </c>
      <c r="L54" s="127">
        <v>1</v>
      </c>
      <c r="M54" s="76">
        <v>2791.850830078125</v>
      </c>
      <c r="N54" s="76">
        <v>2219.48193359375</v>
      </c>
      <c r="O54" s="77"/>
      <c r="P54" s="78"/>
      <c r="Q54" s="78"/>
      <c r="R54" s="128"/>
      <c r="S54" s="48">
        <v>0</v>
      </c>
      <c r="T54" s="48">
        <v>5</v>
      </c>
      <c r="U54" s="49">
        <v>49.09202</v>
      </c>
      <c r="V54" s="49">
        <v>0.002732</v>
      </c>
      <c r="W54" s="49">
        <v>0.010575</v>
      </c>
      <c r="X54" s="49">
        <v>1.498154</v>
      </c>
      <c r="Y54" s="49">
        <v>0</v>
      </c>
      <c r="Z54" s="49">
        <v>0</v>
      </c>
      <c r="AA54" s="73">
        <v>54</v>
      </c>
      <c r="AB54" s="73"/>
      <c r="AC54" s="74"/>
      <c r="AD54" s="90" t="s">
        <v>1122</v>
      </c>
      <c r="AE54" s="90"/>
      <c r="AF54" s="90"/>
      <c r="AG54" s="90"/>
      <c r="AH54" s="90"/>
      <c r="AI54" s="90"/>
      <c r="AJ54" s="96">
        <v>41870.050717592596</v>
      </c>
      <c r="AK54" s="93" t="str">
        <f>HYPERLINK("https://yt3.ggpht.com/a/AATXAJwV_Dlot9E_vjxVOTRbaHFfb2_AiRgQ2JeEcw=s88-c-k-c0xffffffff-no-rj-mo")</f>
        <v>https://yt3.ggpht.com/a/AATXAJwV_Dlot9E_vjxVOTRbaHFfb2_AiRgQ2JeEcw=s88-c-k-c0xffffffff-no-rj-mo</v>
      </c>
      <c r="AL54" s="90">
        <v>1657</v>
      </c>
      <c r="AM54" s="90">
        <v>0</v>
      </c>
      <c r="AN54" s="90">
        <v>30</v>
      </c>
      <c r="AO54" s="90" t="b">
        <v>0</v>
      </c>
      <c r="AP54" s="90">
        <v>12</v>
      </c>
      <c r="AQ54" s="90"/>
      <c r="AR54" s="90"/>
      <c r="AS54" s="90" t="s">
        <v>341</v>
      </c>
      <c r="AT54" s="93" t="str">
        <f>HYPERLINK("https://www.youtube.com/channel/UCBwIvSHzNL5sWjN0hcFGb2g")</f>
        <v>https://www.youtube.com/channel/UCBwIvSHzNL5sWjN0hcFGb2g</v>
      </c>
      <c r="AU54" s="89" t="str">
        <f>REPLACE(INDEX(GroupVertices[Group],MATCH(Vertices[[#This Row],[Vertex]],GroupVertices[Vertex],0)),1,1,"")</f>
        <v>2</v>
      </c>
      <c r="AV54" s="48">
        <v>2</v>
      </c>
      <c r="AW54" s="49">
        <v>2.150537634408602</v>
      </c>
      <c r="AX54" s="48">
        <v>2</v>
      </c>
      <c r="AY54" s="49">
        <v>2.150537634408602</v>
      </c>
      <c r="AZ54" s="48">
        <v>0</v>
      </c>
      <c r="BA54" s="49">
        <v>0</v>
      </c>
      <c r="BB54" s="48">
        <v>89</v>
      </c>
      <c r="BC54" s="49">
        <v>95.6989247311828</v>
      </c>
      <c r="BD54" s="48">
        <v>93</v>
      </c>
      <c r="BE54" s="48"/>
      <c r="BF54" s="48"/>
      <c r="BG54" s="48"/>
      <c r="BH54" s="48"/>
      <c r="BI54" s="48"/>
      <c r="BJ54" s="48"/>
      <c r="BK54" s="48" t="s">
        <v>1348</v>
      </c>
      <c r="BL54" s="48" t="s">
        <v>1349</v>
      </c>
      <c r="BM54" s="119" t="s">
        <v>1440</v>
      </c>
      <c r="BN54" s="119" t="s">
        <v>1440</v>
      </c>
      <c r="BO54" s="119" t="s">
        <v>1558</v>
      </c>
      <c r="BP54" s="119" t="s">
        <v>1558</v>
      </c>
      <c r="BQ54" s="2"/>
      <c r="BR54" s="3"/>
      <c r="BS54" s="3"/>
      <c r="BT54" s="3"/>
      <c r="BU54" s="3"/>
    </row>
    <row r="55" spans="1:73" ht="15">
      <c r="A55" s="66" t="s">
        <v>816</v>
      </c>
      <c r="B55" s="67"/>
      <c r="C55" s="67"/>
      <c r="D55" s="68">
        <v>520</v>
      </c>
      <c r="E55" s="124"/>
      <c r="F55" s="98" t="str">
        <f>HYPERLINK("https://yt3.ggpht.com/a/AATXAJyV43mXbZyCmNzQwW4IrahMq_ptLdWY0abchA=s88-c-k-c0xffffffff-no-rj-mo")</f>
        <v>https://yt3.ggpht.com/a/AATXAJyV43mXbZyCmNzQwW4IrahMq_ptLdWY0abchA=s88-c-k-c0xffffffff-no-rj-mo</v>
      </c>
      <c r="G55" s="125"/>
      <c r="H55" s="71" t="s">
        <v>1123</v>
      </c>
      <c r="I55" s="72"/>
      <c r="J55" s="126" t="s">
        <v>75</v>
      </c>
      <c r="K55" s="71" t="s">
        <v>1123</v>
      </c>
      <c r="L55" s="127">
        <v>477.0952380952381</v>
      </c>
      <c r="M55" s="76">
        <v>8619.095703125</v>
      </c>
      <c r="N55" s="76">
        <v>352.2769775390625</v>
      </c>
      <c r="O55" s="77"/>
      <c r="P55" s="78"/>
      <c r="Q55" s="78"/>
      <c r="R55" s="128"/>
      <c r="S55" s="48">
        <v>2</v>
      </c>
      <c r="T55" s="48">
        <v>1</v>
      </c>
      <c r="U55" s="49">
        <v>166.571429</v>
      </c>
      <c r="V55" s="49">
        <v>0.003534</v>
      </c>
      <c r="W55" s="49">
        <v>0.013357</v>
      </c>
      <c r="X55" s="49">
        <v>0.98151</v>
      </c>
      <c r="Y55" s="49">
        <v>0</v>
      </c>
      <c r="Z55" s="49">
        <v>0</v>
      </c>
      <c r="AA55" s="73">
        <v>55</v>
      </c>
      <c r="AB55" s="73"/>
      <c r="AC55" s="74"/>
      <c r="AD55" s="90" t="s">
        <v>1123</v>
      </c>
      <c r="AE55" s="90"/>
      <c r="AF55" s="90"/>
      <c r="AG55" s="90"/>
      <c r="AH55" s="90"/>
      <c r="AI55" s="90"/>
      <c r="AJ55" s="96">
        <v>43245.237488425926</v>
      </c>
      <c r="AK55" s="93" t="str">
        <f>HYPERLINK("https://yt3.ggpht.com/a/AATXAJyV43mXbZyCmNzQwW4IrahMq_ptLdWY0abchA=s88-c-k-c0xffffffff-no-rj-mo")</f>
        <v>https://yt3.ggpht.com/a/AATXAJyV43mXbZyCmNzQwW4IrahMq_ptLdWY0abchA=s88-c-k-c0xffffffff-no-rj-mo</v>
      </c>
      <c r="AL55" s="90">
        <v>184</v>
      </c>
      <c r="AM55" s="90">
        <v>0</v>
      </c>
      <c r="AN55" s="90">
        <v>1</v>
      </c>
      <c r="AO55" s="90" t="b">
        <v>0</v>
      </c>
      <c r="AP55" s="90">
        <v>1</v>
      </c>
      <c r="AQ55" s="90"/>
      <c r="AR55" s="90"/>
      <c r="AS55" s="90" t="s">
        <v>341</v>
      </c>
      <c r="AT55" s="93" t="str">
        <f>HYPERLINK("https://www.youtube.com/channel/UCR-x4R2A66CvfBD3G3mFtkQ")</f>
        <v>https://www.youtube.com/channel/UCR-x4R2A66CvfBD3G3mFtkQ</v>
      </c>
      <c r="AU55" s="89" t="str">
        <f>REPLACE(INDEX(GroupVertices[Group],MATCH(Vertices[[#This Row],[Vertex]],GroupVertices[Vertex],0)),1,1,"")</f>
        <v>8</v>
      </c>
      <c r="AV55" s="48">
        <v>0</v>
      </c>
      <c r="AW55" s="49">
        <v>0</v>
      </c>
      <c r="AX55" s="48">
        <v>1</v>
      </c>
      <c r="AY55" s="49">
        <v>3.3333333333333335</v>
      </c>
      <c r="AZ55" s="48">
        <v>0</v>
      </c>
      <c r="BA55" s="49">
        <v>0</v>
      </c>
      <c r="BB55" s="48">
        <v>29</v>
      </c>
      <c r="BC55" s="49">
        <v>96.66666666666667</v>
      </c>
      <c r="BD55" s="48">
        <v>30</v>
      </c>
      <c r="BE55" s="48"/>
      <c r="BF55" s="48"/>
      <c r="BG55" s="48"/>
      <c r="BH55" s="48"/>
      <c r="BI55" s="48"/>
      <c r="BJ55" s="48"/>
      <c r="BK55" s="48" t="s">
        <v>1347</v>
      </c>
      <c r="BL55" s="48" t="s">
        <v>1347</v>
      </c>
      <c r="BM55" s="119" t="s">
        <v>1441</v>
      </c>
      <c r="BN55" s="119" t="s">
        <v>1441</v>
      </c>
      <c r="BO55" s="119" t="s">
        <v>1559</v>
      </c>
      <c r="BP55" s="119" t="s">
        <v>1559</v>
      </c>
      <c r="BQ55" s="2"/>
      <c r="BR55" s="3"/>
      <c r="BS55" s="3"/>
      <c r="BT55" s="3"/>
      <c r="BU55" s="3"/>
    </row>
    <row r="56" spans="1:73" ht="15">
      <c r="A56" s="66" t="s">
        <v>817</v>
      </c>
      <c r="B56" s="67"/>
      <c r="C56" s="67"/>
      <c r="D56" s="68">
        <v>360</v>
      </c>
      <c r="E56" s="124"/>
      <c r="F56" s="98" t="str">
        <f>HYPERLINK("https://yt3.ggpht.com/a/AATXAJz76xxm2Vex4Ayijc0Weal2_2LYRrFAreOe2s_j=s88-c-k-c0xffffffff-no-rj-mo")</f>
        <v>https://yt3.ggpht.com/a/AATXAJz76xxm2Vex4Ayijc0Weal2_2LYRrFAreOe2s_j=s88-c-k-c0xffffffff-no-rj-mo</v>
      </c>
      <c r="G56" s="125"/>
      <c r="H56" s="71" t="s">
        <v>1124</v>
      </c>
      <c r="I56" s="72"/>
      <c r="J56" s="126" t="s">
        <v>75</v>
      </c>
      <c r="K56" s="71" t="s">
        <v>1124</v>
      </c>
      <c r="L56" s="127">
        <v>239.04761904761904</v>
      </c>
      <c r="M56" s="76">
        <v>3647.417724609375</v>
      </c>
      <c r="N56" s="76">
        <v>2572.888671875</v>
      </c>
      <c r="O56" s="77"/>
      <c r="P56" s="78"/>
      <c r="Q56" s="78"/>
      <c r="R56" s="128"/>
      <c r="S56" s="48">
        <v>1</v>
      </c>
      <c r="T56" s="48">
        <v>1</v>
      </c>
      <c r="U56" s="49">
        <v>34.201632</v>
      </c>
      <c r="V56" s="49">
        <v>0.003509</v>
      </c>
      <c r="W56" s="49">
        <v>0.013415</v>
      </c>
      <c r="X56" s="49">
        <v>0.654679</v>
      </c>
      <c r="Y56" s="49">
        <v>0</v>
      </c>
      <c r="Z56" s="49">
        <v>0</v>
      </c>
      <c r="AA56" s="73">
        <v>56</v>
      </c>
      <c r="AB56" s="73"/>
      <c r="AC56" s="74"/>
      <c r="AD56" s="90" t="s">
        <v>1124</v>
      </c>
      <c r="AE56" s="90"/>
      <c r="AF56" s="90"/>
      <c r="AG56" s="90"/>
      <c r="AH56" s="90"/>
      <c r="AI56" s="90"/>
      <c r="AJ56" s="96">
        <v>40418.167916666665</v>
      </c>
      <c r="AK56" s="93" t="str">
        <f>HYPERLINK("https://yt3.ggpht.com/a/AATXAJz76xxm2Vex4Ayijc0Weal2_2LYRrFAreOe2s_j=s88-c-k-c0xffffffff-no-rj-mo")</f>
        <v>https://yt3.ggpht.com/a/AATXAJz76xxm2Vex4Ayijc0Weal2_2LYRrFAreOe2s_j=s88-c-k-c0xffffffff-no-rj-mo</v>
      </c>
      <c r="AL56" s="90">
        <v>0</v>
      </c>
      <c r="AM56" s="90">
        <v>0</v>
      </c>
      <c r="AN56" s="90">
        <v>46</v>
      </c>
      <c r="AO56" s="90" t="b">
        <v>0</v>
      </c>
      <c r="AP56" s="90">
        <v>0</v>
      </c>
      <c r="AQ56" s="90"/>
      <c r="AR56" s="90"/>
      <c r="AS56" s="90" t="s">
        <v>341</v>
      </c>
      <c r="AT56" s="93" t="str">
        <f>HYPERLINK("https://www.youtube.com/channel/UCrW4LjX9jhCdjmqt9vLpBuQ")</f>
        <v>https://www.youtube.com/channel/UCrW4LjX9jhCdjmqt9vLpBuQ</v>
      </c>
      <c r="AU56" s="89" t="str">
        <f>REPLACE(INDEX(GroupVertices[Group],MATCH(Vertices[[#This Row],[Vertex]],GroupVertices[Vertex],0)),1,1,"")</f>
        <v>2</v>
      </c>
      <c r="AV56" s="48">
        <v>1</v>
      </c>
      <c r="AW56" s="49">
        <v>1.0416666666666667</v>
      </c>
      <c r="AX56" s="48">
        <v>1</v>
      </c>
      <c r="AY56" s="49">
        <v>1.0416666666666667</v>
      </c>
      <c r="AZ56" s="48">
        <v>0</v>
      </c>
      <c r="BA56" s="49">
        <v>0</v>
      </c>
      <c r="BB56" s="48">
        <v>94</v>
      </c>
      <c r="BC56" s="49">
        <v>97.91666666666667</v>
      </c>
      <c r="BD56" s="48">
        <v>96</v>
      </c>
      <c r="BE56" s="48"/>
      <c r="BF56" s="48"/>
      <c r="BG56" s="48"/>
      <c r="BH56" s="48"/>
      <c r="BI56" s="48"/>
      <c r="BJ56" s="48"/>
      <c r="BK56" s="48" t="s">
        <v>1347</v>
      </c>
      <c r="BL56" s="48" t="s">
        <v>1347</v>
      </c>
      <c r="BM56" s="119" t="s">
        <v>1442</v>
      </c>
      <c r="BN56" s="119" t="s">
        <v>1442</v>
      </c>
      <c r="BO56" s="119" t="s">
        <v>1560</v>
      </c>
      <c r="BP56" s="119" t="s">
        <v>1560</v>
      </c>
      <c r="BQ56" s="2"/>
      <c r="BR56" s="3"/>
      <c r="BS56" s="3"/>
      <c r="BT56" s="3"/>
      <c r="BU56" s="3"/>
    </row>
    <row r="57" spans="1:73" ht="15">
      <c r="A57" s="66" t="s">
        <v>819</v>
      </c>
      <c r="B57" s="67"/>
      <c r="C57" s="67"/>
      <c r="D57" s="68">
        <v>520</v>
      </c>
      <c r="E57" s="124"/>
      <c r="F57" s="98" t="str">
        <f>HYPERLINK("https://yt3.ggpht.com/a/AATXAJyeWQvR07fzUaZ__L5rpkDwyqD3mvrJ2ZznwA=s88-c-k-c0xffffffff-no-rj-mo")</f>
        <v>https://yt3.ggpht.com/a/AATXAJyeWQvR07fzUaZ__L5rpkDwyqD3mvrJ2ZznwA=s88-c-k-c0xffffffff-no-rj-mo</v>
      </c>
      <c r="G57" s="125"/>
      <c r="H57" s="71" t="s">
        <v>1126</v>
      </c>
      <c r="I57" s="72"/>
      <c r="J57" s="126" t="s">
        <v>75</v>
      </c>
      <c r="K57" s="71" t="s">
        <v>1126</v>
      </c>
      <c r="L57" s="127">
        <v>477.0952380952381</v>
      </c>
      <c r="M57" s="76">
        <v>4022.9521484375</v>
      </c>
      <c r="N57" s="76">
        <v>6328.8466796875</v>
      </c>
      <c r="O57" s="77"/>
      <c r="P57" s="78"/>
      <c r="Q57" s="78"/>
      <c r="R57" s="128"/>
      <c r="S57" s="48">
        <v>2</v>
      </c>
      <c r="T57" s="48">
        <v>1</v>
      </c>
      <c r="U57" s="49">
        <v>71.357143</v>
      </c>
      <c r="V57" s="49">
        <v>0.003534</v>
      </c>
      <c r="W57" s="49">
        <v>0.015507</v>
      </c>
      <c r="X57" s="49">
        <v>0.930436</v>
      </c>
      <c r="Y57" s="49">
        <v>0.16666666666666666</v>
      </c>
      <c r="Z57" s="49">
        <v>0</v>
      </c>
      <c r="AA57" s="73">
        <v>57</v>
      </c>
      <c r="AB57" s="73"/>
      <c r="AC57" s="74"/>
      <c r="AD57" s="90" t="s">
        <v>1126</v>
      </c>
      <c r="AE57" s="90"/>
      <c r="AF57" s="90"/>
      <c r="AG57" s="90"/>
      <c r="AH57" s="90"/>
      <c r="AI57" s="90"/>
      <c r="AJ57" s="96">
        <v>40480.23894675926</v>
      </c>
      <c r="AK57" s="93" t="str">
        <f>HYPERLINK("https://yt3.ggpht.com/a/AATXAJyeWQvR07fzUaZ__L5rpkDwyqD3mvrJ2ZznwA=s88-c-k-c0xffffffff-no-rj-mo")</f>
        <v>https://yt3.ggpht.com/a/AATXAJyeWQvR07fzUaZ__L5rpkDwyqD3mvrJ2ZznwA=s88-c-k-c0xffffffff-no-rj-mo</v>
      </c>
      <c r="AL57" s="90">
        <v>47</v>
      </c>
      <c r="AM57" s="90">
        <v>0</v>
      </c>
      <c r="AN57" s="90">
        <v>3</v>
      </c>
      <c r="AO57" s="90" t="b">
        <v>0</v>
      </c>
      <c r="AP57" s="90">
        <v>2</v>
      </c>
      <c r="AQ57" s="90"/>
      <c r="AR57" s="90"/>
      <c r="AS57" s="90" t="s">
        <v>341</v>
      </c>
      <c r="AT57" s="93" t="str">
        <f>HYPERLINK("https://www.youtube.com/channel/UCz4TH5L5v9eAbJ1gpw-vLeg")</f>
        <v>https://www.youtube.com/channel/UCz4TH5L5v9eAbJ1gpw-vLeg</v>
      </c>
      <c r="AU57" s="89" t="str">
        <f>REPLACE(INDEX(GroupVertices[Group],MATCH(Vertices[[#This Row],[Vertex]],GroupVertices[Vertex],0)),1,1,"")</f>
        <v>4</v>
      </c>
      <c r="AV57" s="48">
        <v>1</v>
      </c>
      <c r="AW57" s="49">
        <v>2.5</v>
      </c>
      <c r="AX57" s="48">
        <v>1</v>
      </c>
      <c r="AY57" s="49">
        <v>2.5</v>
      </c>
      <c r="AZ57" s="48">
        <v>0</v>
      </c>
      <c r="BA57" s="49">
        <v>0</v>
      </c>
      <c r="BB57" s="48">
        <v>38</v>
      </c>
      <c r="BC57" s="49">
        <v>95</v>
      </c>
      <c r="BD57" s="48">
        <v>40</v>
      </c>
      <c r="BE57" s="48"/>
      <c r="BF57" s="48"/>
      <c r="BG57" s="48"/>
      <c r="BH57" s="48"/>
      <c r="BI57" s="48"/>
      <c r="BJ57" s="48"/>
      <c r="BK57" s="48" t="s">
        <v>1347</v>
      </c>
      <c r="BL57" s="48" t="s">
        <v>1347</v>
      </c>
      <c r="BM57" s="119" t="s">
        <v>1443</v>
      </c>
      <c r="BN57" s="119" t="s">
        <v>1443</v>
      </c>
      <c r="BO57" s="119" t="s">
        <v>1561</v>
      </c>
      <c r="BP57" s="119" t="s">
        <v>1561</v>
      </c>
      <c r="BQ57" s="2"/>
      <c r="BR57" s="3"/>
      <c r="BS57" s="3"/>
      <c r="BT57" s="3"/>
      <c r="BU57" s="3"/>
    </row>
    <row r="58" spans="1:73" ht="15">
      <c r="A58" s="66" t="s">
        <v>818</v>
      </c>
      <c r="B58" s="67"/>
      <c r="C58" s="67"/>
      <c r="D58" s="68">
        <v>520</v>
      </c>
      <c r="E58" s="124"/>
      <c r="F58" s="98" t="str">
        <f>HYPERLINK("https://yt3.ggpht.com/a/AATXAJzHORWohUyUZ9iAqZ8nryoTBvgsNgsdkivNC5dI=s88-c-k-c0xffffffff-no-rj-mo")</f>
        <v>https://yt3.ggpht.com/a/AATXAJzHORWohUyUZ9iAqZ8nryoTBvgsNgsdkivNC5dI=s88-c-k-c0xffffffff-no-rj-mo</v>
      </c>
      <c r="G58" s="125"/>
      <c r="H58" s="71" t="s">
        <v>1125</v>
      </c>
      <c r="I58" s="72"/>
      <c r="J58" s="126" t="s">
        <v>75</v>
      </c>
      <c r="K58" s="71" t="s">
        <v>1125</v>
      </c>
      <c r="L58" s="127">
        <v>477.0952380952381</v>
      </c>
      <c r="M58" s="76">
        <v>4465.49755859375</v>
      </c>
      <c r="N58" s="76">
        <v>5927.07177734375</v>
      </c>
      <c r="O58" s="77"/>
      <c r="P58" s="78"/>
      <c r="Q58" s="78"/>
      <c r="R58" s="128"/>
      <c r="S58" s="48">
        <v>2</v>
      </c>
      <c r="T58" s="48">
        <v>4</v>
      </c>
      <c r="U58" s="49">
        <v>102.688278</v>
      </c>
      <c r="V58" s="49">
        <v>0.00361</v>
      </c>
      <c r="W58" s="49">
        <v>0.020119</v>
      </c>
      <c r="X58" s="49">
        <v>1.488356</v>
      </c>
      <c r="Y58" s="49">
        <v>0.16666666666666666</v>
      </c>
      <c r="Z58" s="49">
        <v>0</v>
      </c>
      <c r="AA58" s="73">
        <v>58</v>
      </c>
      <c r="AB58" s="73"/>
      <c r="AC58" s="74"/>
      <c r="AD58" s="90" t="s">
        <v>1125</v>
      </c>
      <c r="AE58" s="90"/>
      <c r="AF58" s="90"/>
      <c r="AG58" s="90"/>
      <c r="AH58" s="90"/>
      <c r="AI58" s="90"/>
      <c r="AJ58" s="96">
        <v>41836.94274305556</v>
      </c>
      <c r="AK58" s="93" t="str">
        <f>HYPERLINK("https://yt3.ggpht.com/a/AATXAJzHORWohUyUZ9iAqZ8nryoTBvgsNgsdkivNC5dI=s88-c-k-c0xffffffff-no-rj-mo")</f>
        <v>https://yt3.ggpht.com/a/AATXAJzHORWohUyUZ9iAqZ8nryoTBvgsNgsdkivNC5dI=s88-c-k-c0xffffffff-no-rj-mo</v>
      </c>
      <c r="AL58" s="90">
        <v>0</v>
      </c>
      <c r="AM58" s="90">
        <v>0</v>
      </c>
      <c r="AN58" s="90">
        <v>37</v>
      </c>
      <c r="AO58" s="90" t="b">
        <v>0</v>
      </c>
      <c r="AP58" s="90">
        <v>0</v>
      </c>
      <c r="AQ58" s="90"/>
      <c r="AR58" s="90"/>
      <c r="AS58" s="90" t="s">
        <v>341</v>
      </c>
      <c r="AT58" s="93" t="str">
        <f>HYPERLINK("https://www.youtube.com/channel/UCSNwk1mZCxz0WkWk4C1AOog")</f>
        <v>https://www.youtube.com/channel/UCSNwk1mZCxz0WkWk4C1AOog</v>
      </c>
      <c r="AU58" s="89" t="str">
        <f>REPLACE(INDEX(GroupVertices[Group],MATCH(Vertices[[#This Row],[Vertex]],GroupVertices[Vertex],0)),1,1,"")</f>
        <v>4</v>
      </c>
      <c r="AV58" s="48">
        <v>3</v>
      </c>
      <c r="AW58" s="49">
        <v>2.4</v>
      </c>
      <c r="AX58" s="48">
        <v>4</v>
      </c>
      <c r="AY58" s="49">
        <v>3.2</v>
      </c>
      <c r="AZ58" s="48">
        <v>0</v>
      </c>
      <c r="BA58" s="49">
        <v>0</v>
      </c>
      <c r="BB58" s="48">
        <v>118</v>
      </c>
      <c r="BC58" s="49">
        <v>94.4</v>
      </c>
      <c r="BD58" s="48">
        <v>125</v>
      </c>
      <c r="BE58" s="48"/>
      <c r="BF58" s="48"/>
      <c r="BG58" s="48"/>
      <c r="BH58" s="48"/>
      <c r="BI58" s="48"/>
      <c r="BJ58" s="48"/>
      <c r="BK58" s="48" t="s">
        <v>1348</v>
      </c>
      <c r="BL58" s="48" t="s">
        <v>1349</v>
      </c>
      <c r="BM58" s="119" t="s">
        <v>1444</v>
      </c>
      <c r="BN58" s="119" t="s">
        <v>1500</v>
      </c>
      <c r="BO58" s="119" t="s">
        <v>1562</v>
      </c>
      <c r="BP58" s="119" t="s">
        <v>1562</v>
      </c>
      <c r="BQ58" s="2"/>
      <c r="BR58" s="3"/>
      <c r="BS58" s="3"/>
      <c r="BT58" s="3"/>
      <c r="BU58" s="3"/>
    </row>
    <row r="59" spans="1:73" ht="15">
      <c r="A59" s="66" t="s">
        <v>820</v>
      </c>
      <c r="B59" s="67"/>
      <c r="C59" s="67"/>
      <c r="D59" s="68">
        <v>200</v>
      </c>
      <c r="E59" s="124"/>
      <c r="F59" s="98" t="str">
        <f>HYPERLINK("https://yt3.ggpht.com/a/AATXAJxQFXKha4wUMXsdgsL3YYimBM8wyiaQbb89Q6Y7Ng=s88-c-k-c0xffffffff-no-rj-mo")</f>
        <v>https://yt3.ggpht.com/a/AATXAJxQFXKha4wUMXsdgsL3YYimBM8wyiaQbb89Q6Y7Ng=s88-c-k-c0xffffffff-no-rj-mo</v>
      </c>
      <c r="G59" s="125"/>
      <c r="H59" s="71" t="s">
        <v>1127</v>
      </c>
      <c r="I59" s="72"/>
      <c r="J59" s="126" t="s">
        <v>159</v>
      </c>
      <c r="K59" s="71" t="s">
        <v>1127</v>
      </c>
      <c r="L59" s="127">
        <v>1</v>
      </c>
      <c r="M59" s="76">
        <v>9208.267578125</v>
      </c>
      <c r="N59" s="76">
        <v>6328.8466796875</v>
      </c>
      <c r="O59" s="77"/>
      <c r="P59" s="78"/>
      <c r="Q59" s="78"/>
      <c r="R59" s="128"/>
      <c r="S59" s="48">
        <v>0</v>
      </c>
      <c r="T59" s="48">
        <v>1</v>
      </c>
      <c r="U59" s="49">
        <v>0</v>
      </c>
      <c r="V59" s="49">
        <v>0.002604</v>
      </c>
      <c r="W59" s="49">
        <v>0.0025960000000000002</v>
      </c>
      <c r="X59" s="49">
        <v>0.44155</v>
      </c>
      <c r="Y59" s="49">
        <v>0</v>
      </c>
      <c r="Z59" s="49">
        <v>0</v>
      </c>
      <c r="AA59" s="73">
        <v>59</v>
      </c>
      <c r="AB59" s="73"/>
      <c r="AC59" s="74"/>
      <c r="AD59" s="90" t="s">
        <v>1127</v>
      </c>
      <c r="AE59" s="90"/>
      <c r="AF59" s="90"/>
      <c r="AG59" s="90"/>
      <c r="AH59" s="90"/>
      <c r="AI59" s="90"/>
      <c r="AJ59" s="96">
        <v>40861.17972222222</v>
      </c>
      <c r="AK59" s="93" t="str">
        <f>HYPERLINK("https://yt3.ggpht.com/a/AATXAJxQFXKha4wUMXsdgsL3YYimBM8wyiaQbb89Q6Y7Ng=s88-c-k-c0xffffffff-no-rj-mo")</f>
        <v>https://yt3.ggpht.com/a/AATXAJxQFXKha4wUMXsdgsL3YYimBM8wyiaQbb89Q6Y7Ng=s88-c-k-c0xffffffff-no-rj-mo</v>
      </c>
      <c r="AL59" s="90">
        <v>146</v>
      </c>
      <c r="AM59" s="90">
        <v>0</v>
      </c>
      <c r="AN59" s="90">
        <v>19</v>
      </c>
      <c r="AO59" s="90" t="b">
        <v>0</v>
      </c>
      <c r="AP59" s="90">
        <v>2</v>
      </c>
      <c r="AQ59" s="90"/>
      <c r="AR59" s="90"/>
      <c r="AS59" s="90" t="s">
        <v>341</v>
      </c>
      <c r="AT59" s="93" t="str">
        <f>HYPERLINK("https://www.youtube.com/channel/UC5BuVr5uirGZhG0qsletd5A")</f>
        <v>https://www.youtube.com/channel/UC5BuVr5uirGZhG0qsletd5A</v>
      </c>
      <c r="AU59" s="89" t="str">
        <f>REPLACE(INDEX(GroupVertices[Group],MATCH(Vertices[[#This Row],[Vertex]],GroupVertices[Vertex],0)),1,1,"")</f>
        <v>6</v>
      </c>
      <c r="AV59" s="48">
        <v>0</v>
      </c>
      <c r="AW59" s="49">
        <v>0</v>
      </c>
      <c r="AX59" s="48">
        <v>0</v>
      </c>
      <c r="AY59" s="49">
        <v>0</v>
      </c>
      <c r="AZ59" s="48">
        <v>0</v>
      </c>
      <c r="BA59" s="49">
        <v>0</v>
      </c>
      <c r="BB59" s="48">
        <v>11</v>
      </c>
      <c r="BC59" s="49">
        <v>100</v>
      </c>
      <c r="BD59" s="48">
        <v>11</v>
      </c>
      <c r="BE59" s="48"/>
      <c r="BF59" s="48"/>
      <c r="BG59" s="48"/>
      <c r="BH59" s="48"/>
      <c r="BI59" s="48"/>
      <c r="BJ59" s="48"/>
      <c r="BK59" s="48" t="s">
        <v>686</v>
      </c>
      <c r="BL59" s="48" t="s">
        <v>686</v>
      </c>
      <c r="BM59" s="119" t="s">
        <v>1445</v>
      </c>
      <c r="BN59" s="119" t="s">
        <v>1445</v>
      </c>
      <c r="BO59" s="119" t="s">
        <v>1563</v>
      </c>
      <c r="BP59" s="119" t="s">
        <v>1563</v>
      </c>
      <c r="BQ59" s="2"/>
      <c r="BR59" s="3"/>
      <c r="BS59" s="3"/>
      <c r="BT59" s="3"/>
      <c r="BU59" s="3"/>
    </row>
    <row r="60" spans="1:73" ht="15">
      <c r="A60" s="66" t="s">
        <v>825</v>
      </c>
      <c r="B60" s="67"/>
      <c r="C60" s="67"/>
      <c r="D60" s="68">
        <v>1000</v>
      </c>
      <c r="E60" s="124"/>
      <c r="F60" s="98" t="str">
        <f>HYPERLINK("https://yt3.ggpht.com/a/AATXAJx5gqSKe6FY2KDcp-tL_IxFzEtX3WuJibIsiA=s88-c-k-c0xffffffff-no-rj-mo")</f>
        <v>https://yt3.ggpht.com/a/AATXAJx5gqSKe6FY2KDcp-tL_IxFzEtX3WuJibIsiA=s88-c-k-c0xffffffff-no-rj-mo</v>
      </c>
      <c r="G60" s="125"/>
      <c r="H60" s="71" t="s">
        <v>1132</v>
      </c>
      <c r="I60" s="72"/>
      <c r="J60" s="126" t="s">
        <v>75</v>
      </c>
      <c r="K60" s="71" t="s">
        <v>1132</v>
      </c>
      <c r="L60" s="127">
        <v>1667.3333333333333</v>
      </c>
      <c r="M60" s="76">
        <v>9269.556640625</v>
      </c>
      <c r="N60" s="76">
        <v>5248.412109375</v>
      </c>
      <c r="O60" s="77"/>
      <c r="P60" s="78"/>
      <c r="Q60" s="78"/>
      <c r="R60" s="128"/>
      <c r="S60" s="48">
        <v>7</v>
      </c>
      <c r="T60" s="48">
        <v>2</v>
      </c>
      <c r="U60" s="49">
        <v>947.169408</v>
      </c>
      <c r="V60" s="49">
        <v>0.003636</v>
      </c>
      <c r="W60" s="49">
        <v>0.019427</v>
      </c>
      <c r="X60" s="49">
        <v>2.744001</v>
      </c>
      <c r="Y60" s="49">
        <v>0.023809523809523808</v>
      </c>
      <c r="Z60" s="49">
        <v>0</v>
      </c>
      <c r="AA60" s="73">
        <v>60</v>
      </c>
      <c r="AB60" s="73"/>
      <c r="AC60" s="74"/>
      <c r="AD60" s="90" t="s">
        <v>1132</v>
      </c>
      <c r="AE60" s="90"/>
      <c r="AF60" s="90"/>
      <c r="AG60" s="90"/>
      <c r="AH60" s="90"/>
      <c r="AI60" s="90"/>
      <c r="AJ60" s="96">
        <v>38864.51127314815</v>
      </c>
      <c r="AK60" s="93" t="str">
        <f>HYPERLINK("https://yt3.ggpht.com/a/AATXAJx5gqSKe6FY2KDcp-tL_IxFzEtX3WuJibIsiA=s88-c-k-c0xffffffff-no-rj-mo")</f>
        <v>https://yt3.ggpht.com/a/AATXAJx5gqSKe6FY2KDcp-tL_IxFzEtX3WuJibIsiA=s88-c-k-c0xffffffff-no-rj-mo</v>
      </c>
      <c r="AL60" s="90">
        <v>76874</v>
      </c>
      <c r="AM60" s="90">
        <v>0</v>
      </c>
      <c r="AN60" s="90">
        <v>30</v>
      </c>
      <c r="AO60" s="90" t="b">
        <v>0</v>
      </c>
      <c r="AP60" s="90">
        <v>20</v>
      </c>
      <c r="AQ60" s="90"/>
      <c r="AR60" s="90"/>
      <c r="AS60" s="90" t="s">
        <v>341</v>
      </c>
      <c r="AT60" s="93" t="str">
        <f>HYPERLINK("https://www.youtube.com/channel/UCoRLkOzhw8HekouG2PWC2zg")</f>
        <v>https://www.youtube.com/channel/UCoRLkOzhw8HekouG2PWC2zg</v>
      </c>
      <c r="AU60" s="89" t="str">
        <f>REPLACE(INDEX(GroupVertices[Group],MATCH(Vertices[[#This Row],[Vertex]],GroupVertices[Vertex],0)),1,1,"")</f>
        <v>6</v>
      </c>
      <c r="AV60" s="48">
        <v>0</v>
      </c>
      <c r="AW60" s="49">
        <v>0</v>
      </c>
      <c r="AX60" s="48">
        <v>2</v>
      </c>
      <c r="AY60" s="49">
        <v>3.389830508474576</v>
      </c>
      <c r="AZ60" s="48">
        <v>0</v>
      </c>
      <c r="BA60" s="49">
        <v>0</v>
      </c>
      <c r="BB60" s="48">
        <v>57</v>
      </c>
      <c r="BC60" s="49">
        <v>96.61016949152543</v>
      </c>
      <c r="BD60" s="48">
        <v>59</v>
      </c>
      <c r="BE60" s="48"/>
      <c r="BF60" s="48"/>
      <c r="BG60" s="48"/>
      <c r="BH60" s="48"/>
      <c r="BI60" s="48"/>
      <c r="BJ60" s="48"/>
      <c r="BK60" s="48" t="s">
        <v>1349</v>
      </c>
      <c r="BL60" s="48" t="s">
        <v>1348</v>
      </c>
      <c r="BM60" s="119" t="s">
        <v>1446</v>
      </c>
      <c r="BN60" s="119" t="s">
        <v>1501</v>
      </c>
      <c r="BO60" s="119" t="s">
        <v>1564</v>
      </c>
      <c r="BP60" s="119" t="s">
        <v>1564</v>
      </c>
      <c r="BQ60" s="2"/>
      <c r="BR60" s="3"/>
      <c r="BS60" s="3"/>
      <c r="BT60" s="3"/>
      <c r="BU60" s="3"/>
    </row>
    <row r="61" spans="1:73" ht="15">
      <c r="A61" s="66" t="s">
        <v>821</v>
      </c>
      <c r="B61" s="67"/>
      <c r="C61" s="67"/>
      <c r="D61" s="68">
        <v>200</v>
      </c>
      <c r="E61" s="124"/>
      <c r="F61" s="98" t="str">
        <f>HYPERLINK("https://yt3.ggpht.com/a/AATXAJzp1QgzPnfkh4inxI0e_o3Cc7o46Ai9Km482Q=s88-c-k-c0xffffffff-no-rj-mo")</f>
        <v>https://yt3.ggpht.com/a/AATXAJzp1QgzPnfkh4inxI0e_o3Cc7o46Ai9Km482Q=s88-c-k-c0xffffffff-no-rj-mo</v>
      </c>
      <c r="G61" s="125"/>
      <c r="H61" s="71" t="s">
        <v>1128</v>
      </c>
      <c r="I61" s="72"/>
      <c r="J61" s="126" t="s">
        <v>159</v>
      </c>
      <c r="K61" s="71" t="s">
        <v>1128</v>
      </c>
      <c r="L61" s="127">
        <v>1</v>
      </c>
      <c r="M61" s="76">
        <v>9819.6123046875</v>
      </c>
      <c r="N61" s="76">
        <v>5034.486328125</v>
      </c>
      <c r="O61" s="77"/>
      <c r="P61" s="78"/>
      <c r="Q61" s="78"/>
      <c r="R61" s="128"/>
      <c r="S61" s="48">
        <v>0</v>
      </c>
      <c r="T61" s="48">
        <v>1</v>
      </c>
      <c r="U61" s="49">
        <v>0</v>
      </c>
      <c r="V61" s="49">
        <v>0.002604</v>
      </c>
      <c r="W61" s="49">
        <v>0.0025960000000000002</v>
      </c>
      <c r="X61" s="49">
        <v>0.44155</v>
      </c>
      <c r="Y61" s="49">
        <v>0</v>
      </c>
      <c r="Z61" s="49">
        <v>0</v>
      </c>
      <c r="AA61" s="73">
        <v>61</v>
      </c>
      <c r="AB61" s="73"/>
      <c r="AC61" s="74"/>
      <c r="AD61" s="90" t="s">
        <v>1128</v>
      </c>
      <c r="AE61" s="90"/>
      <c r="AF61" s="90"/>
      <c r="AG61" s="90"/>
      <c r="AH61" s="90"/>
      <c r="AI61" s="90"/>
      <c r="AJ61" s="96">
        <v>39308.18247685185</v>
      </c>
      <c r="AK61" s="93" t="str">
        <f>HYPERLINK("https://yt3.ggpht.com/a/AATXAJzp1QgzPnfkh4inxI0e_o3Cc7o46Ai9Km482Q=s88-c-k-c0xffffffff-no-rj-mo")</f>
        <v>https://yt3.ggpht.com/a/AATXAJzp1QgzPnfkh4inxI0e_o3Cc7o46Ai9Km482Q=s88-c-k-c0xffffffff-no-rj-mo</v>
      </c>
      <c r="AL61" s="90">
        <v>0</v>
      </c>
      <c r="AM61" s="90">
        <v>0</v>
      </c>
      <c r="AN61" s="90">
        <v>0</v>
      </c>
      <c r="AO61" s="90" t="b">
        <v>0</v>
      </c>
      <c r="AP61" s="90">
        <v>0</v>
      </c>
      <c r="AQ61" s="90"/>
      <c r="AR61" s="90"/>
      <c r="AS61" s="90" t="s">
        <v>341</v>
      </c>
      <c r="AT61" s="93" t="str">
        <f>HYPERLINK("https://www.youtube.com/channel/UCIPm0BcT0umjrI9mw0bsHYA")</f>
        <v>https://www.youtube.com/channel/UCIPm0BcT0umjrI9mw0bsHYA</v>
      </c>
      <c r="AU61" s="89" t="str">
        <f>REPLACE(INDEX(GroupVertices[Group],MATCH(Vertices[[#This Row],[Vertex]],GroupVertices[Vertex],0)),1,1,"")</f>
        <v>6</v>
      </c>
      <c r="AV61" s="48">
        <v>0</v>
      </c>
      <c r="AW61" s="49">
        <v>0</v>
      </c>
      <c r="AX61" s="48">
        <v>0</v>
      </c>
      <c r="AY61" s="49">
        <v>0</v>
      </c>
      <c r="AZ61" s="48">
        <v>0</v>
      </c>
      <c r="BA61" s="49">
        <v>0</v>
      </c>
      <c r="BB61" s="48">
        <v>1</v>
      </c>
      <c r="BC61" s="49">
        <v>100</v>
      </c>
      <c r="BD61" s="48">
        <v>1</v>
      </c>
      <c r="BE61" s="48"/>
      <c r="BF61" s="48"/>
      <c r="BG61" s="48"/>
      <c r="BH61" s="48"/>
      <c r="BI61" s="48"/>
      <c r="BJ61" s="48"/>
      <c r="BK61" s="48" t="s">
        <v>686</v>
      </c>
      <c r="BL61" s="48" t="s">
        <v>686</v>
      </c>
      <c r="BM61" s="119" t="s">
        <v>708</v>
      </c>
      <c r="BN61" s="119" t="s">
        <v>708</v>
      </c>
      <c r="BO61" s="119" t="s">
        <v>708</v>
      </c>
      <c r="BP61" s="119" t="s">
        <v>708</v>
      </c>
      <c r="BQ61" s="2"/>
      <c r="BR61" s="3"/>
      <c r="BS61" s="3"/>
      <c r="BT61" s="3"/>
      <c r="BU61" s="3"/>
    </row>
    <row r="62" spans="1:73" ht="15">
      <c r="A62" s="66" t="s">
        <v>822</v>
      </c>
      <c r="B62" s="67"/>
      <c r="C62" s="67"/>
      <c r="D62" s="68">
        <v>200</v>
      </c>
      <c r="E62" s="124"/>
      <c r="F62" s="98" t="str">
        <f>HYPERLINK("https://yt3.ggpht.com/a/AATXAJySZiZ6p0TXlwzVZsstJPntNVYs-8fcua3d_DsL=s88-c-k-c0xffffffff-no-rj-mo")</f>
        <v>https://yt3.ggpht.com/a/AATXAJySZiZ6p0TXlwzVZsstJPntNVYs-8fcua3d_DsL=s88-c-k-c0xffffffff-no-rj-mo</v>
      </c>
      <c r="G62" s="125"/>
      <c r="H62" s="71" t="s">
        <v>1129</v>
      </c>
      <c r="I62" s="72"/>
      <c r="J62" s="126" t="s">
        <v>159</v>
      </c>
      <c r="K62" s="71" t="s">
        <v>1129</v>
      </c>
      <c r="L62" s="127">
        <v>1</v>
      </c>
      <c r="M62" s="76">
        <v>9601.7412109375</v>
      </c>
      <c r="N62" s="76">
        <v>4284.86669921875</v>
      </c>
      <c r="O62" s="77"/>
      <c r="P62" s="78"/>
      <c r="Q62" s="78"/>
      <c r="R62" s="128"/>
      <c r="S62" s="48">
        <v>0</v>
      </c>
      <c r="T62" s="48">
        <v>1</v>
      </c>
      <c r="U62" s="49">
        <v>0</v>
      </c>
      <c r="V62" s="49">
        <v>0.002604</v>
      </c>
      <c r="W62" s="49">
        <v>0.0025960000000000002</v>
      </c>
      <c r="X62" s="49">
        <v>0.44155</v>
      </c>
      <c r="Y62" s="49">
        <v>0</v>
      </c>
      <c r="Z62" s="49">
        <v>0</v>
      </c>
      <c r="AA62" s="73">
        <v>62</v>
      </c>
      <c r="AB62" s="73"/>
      <c r="AC62" s="74"/>
      <c r="AD62" s="90" t="s">
        <v>1129</v>
      </c>
      <c r="AE62" s="90"/>
      <c r="AF62" s="90"/>
      <c r="AG62" s="90"/>
      <c r="AH62" s="90"/>
      <c r="AI62" s="90"/>
      <c r="AJ62" s="96">
        <v>43003.08447916667</v>
      </c>
      <c r="AK62" s="93" t="str">
        <f>HYPERLINK("https://yt3.ggpht.com/a/AATXAJySZiZ6p0TXlwzVZsstJPntNVYs-8fcua3d_DsL=s88-c-k-c0xffffffff-no-rj-mo")</f>
        <v>https://yt3.ggpht.com/a/AATXAJySZiZ6p0TXlwzVZsstJPntNVYs-8fcua3d_DsL=s88-c-k-c0xffffffff-no-rj-mo</v>
      </c>
      <c r="AL62" s="90">
        <v>0</v>
      </c>
      <c r="AM62" s="90">
        <v>0</v>
      </c>
      <c r="AN62" s="90">
        <v>12</v>
      </c>
      <c r="AO62" s="90" t="b">
        <v>0</v>
      </c>
      <c r="AP62" s="90">
        <v>0</v>
      </c>
      <c r="AQ62" s="90"/>
      <c r="AR62" s="90"/>
      <c r="AS62" s="90" t="s">
        <v>341</v>
      </c>
      <c r="AT62" s="93" t="str">
        <f>HYPERLINK("https://www.youtube.com/channel/UCBvG32FaaoWFoQ30DvSyrHw")</f>
        <v>https://www.youtube.com/channel/UCBvG32FaaoWFoQ30DvSyrHw</v>
      </c>
      <c r="AU62" s="89" t="str">
        <f>REPLACE(INDEX(GroupVertices[Group],MATCH(Vertices[[#This Row],[Vertex]],GroupVertices[Vertex],0)),1,1,"")</f>
        <v>6</v>
      </c>
      <c r="AV62" s="48">
        <v>1</v>
      </c>
      <c r="AW62" s="49">
        <v>7.142857142857143</v>
      </c>
      <c r="AX62" s="48">
        <v>1</v>
      </c>
      <c r="AY62" s="49">
        <v>7.142857142857143</v>
      </c>
      <c r="AZ62" s="48">
        <v>0</v>
      </c>
      <c r="BA62" s="49">
        <v>0</v>
      </c>
      <c r="BB62" s="48">
        <v>12</v>
      </c>
      <c r="BC62" s="49">
        <v>85.71428571428571</v>
      </c>
      <c r="BD62" s="48">
        <v>14</v>
      </c>
      <c r="BE62" s="48"/>
      <c r="BF62" s="48"/>
      <c r="BG62" s="48"/>
      <c r="BH62" s="48"/>
      <c r="BI62" s="48"/>
      <c r="BJ62" s="48"/>
      <c r="BK62" s="48" t="s">
        <v>686</v>
      </c>
      <c r="BL62" s="48" t="s">
        <v>686</v>
      </c>
      <c r="BM62" s="119" t="s">
        <v>1447</v>
      </c>
      <c r="BN62" s="119" t="s">
        <v>1447</v>
      </c>
      <c r="BO62" s="119" t="s">
        <v>1565</v>
      </c>
      <c r="BP62" s="119" t="s">
        <v>1565</v>
      </c>
      <c r="BQ62" s="2"/>
      <c r="BR62" s="3"/>
      <c r="BS62" s="3"/>
      <c r="BT62" s="3"/>
      <c r="BU62" s="3"/>
    </row>
    <row r="63" spans="1:73" ht="15">
      <c r="A63" s="66" t="s">
        <v>823</v>
      </c>
      <c r="B63" s="67"/>
      <c r="C63" s="67"/>
      <c r="D63" s="68">
        <v>200</v>
      </c>
      <c r="E63" s="124"/>
      <c r="F63" s="98" t="str">
        <f>HYPERLINK("https://yt3.ggpht.com/a/AATXAJzuwaFlhnotMvR4AFIgmu7TPAbC4r-fy5tXIYXO=s88-c-k-c0xffffffff-no-rj-mo")</f>
        <v>https://yt3.ggpht.com/a/AATXAJzuwaFlhnotMvR4AFIgmu7TPAbC4r-fy5tXIYXO=s88-c-k-c0xffffffff-no-rj-mo</v>
      </c>
      <c r="G63" s="125"/>
      <c r="H63" s="71" t="s">
        <v>1130</v>
      </c>
      <c r="I63" s="72"/>
      <c r="J63" s="126" t="s">
        <v>159</v>
      </c>
      <c r="K63" s="71" t="s">
        <v>1130</v>
      </c>
      <c r="L63" s="127">
        <v>1</v>
      </c>
      <c r="M63" s="76">
        <v>9716.333984375</v>
      </c>
      <c r="N63" s="76">
        <v>5955.818359375</v>
      </c>
      <c r="O63" s="77"/>
      <c r="P63" s="78"/>
      <c r="Q63" s="78"/>
      <c r="R63" s="128"/>
      <c r="S63" s="48">
        <v>0</v>
      </c>
      <c r="T63" s="48">
        <v>1</v>
      </c>
      <c r="U63" s="49">
        <v>0</v>
      </c>
      <c r="V63" s="49">
        <v>0.002604</v>
      </c>
      <c r="W63" s="49">
        <v>0.0025960000000000002</v>
      </c>
      <c r="X63" s="49">
        <v>0.44155</v>
      </c>
      <c r="Y63" s="49">
        <v>0</v>
      </c>
      <c r="Z63" s="49">
        <v>0</v>
      </c>
      <c r="AA63" s="73">
        <v>63</v>
      </c>
      <c r="AB63" s="73"/>
      <c r="AC63" s="74"/>
      <c r="AD63" s="90" t="s">
        <v>1130</v>
      </c>
      <c r="AE63" s="90"/>
      <c r="AF63" s="90"/>
      <c r="AG63" s="90"/>
      <c r="AH63" s="90"/>
      <c r="AI63" s="90"/>
      <c r="AJ63" s="96">
        <v>42268.14974537037</v>
      </c>
      <c r="AK63" s="93" t="str">
        <f>HYPERLINK("https://yt3.ggpht.com/a/AATXAJzuwaFlhnotMvR4AFIgmu7TPAbC4r-fy5tXIYXO=s88-c-k-c0xffffffff-no-rj-mo")</f>
        <v>https://yt3.ggpht.com/a/AATXAJzuwaFlhnotMvR4AFIgmu7TPAbC4r-fy5tXIYXO=s88-c-k-c0xffffffff-no-rj-mo</v>
      </c>
      <c r="AL63" s="90">
        <v>0</v>
      </c>
      <c r="AM63" s="90">
        <v>0</v>
      </c>
      <c r="AN63" s="90">
        <v>9</v>
      </c>
      <c r="AO63" s="90" t="b">
        <v>0</v>
      </c>
      <c r="AP63" s="90">
        <v>0</v>
      </c>
      <c r="AQ63" s="90"/>
      <c r="AR63" s="90"/>
      <c r="AS63" s="90" t="s">
        <v>341</v>
      </c>
      <c r="AT63" s="93" t="str">
        <f>HYPERLINK("https://www.youtube.com/channel/UC0Cy8LOSzB_Cfr3uwBSLGNA")</f>
        <v>https://www.youtube.com/channel/UC0Cy8LOSzB_Cfr3uwBSLGNA</v>
      </c>
      <c r="AU63" s="89" t="str">
        <f>REPLACE(INDEX(GroupVertices[Group],MATCH(Vertices[[#This Row],[Vertex]],GroupVertices[Vertex],0)),1,1,"")</f>
        <v>6</v>
      </c>
      <c r="AV63" s="48">
        <v>2</v>
      </c>
      <c r="AW63" s="49">
        <v>1.9230769230769231</v>
      </c>
      <c r="AX63" s="48">
        <v>3</v>
      </c>
      <c r="AY63" s="49">
        <v>2.8846153846153846</v>
      </c>
      <c r="AZ63" s="48">
        <v>0</v>
      </c>
      <c r="BA63" s="49">
        <v>0</v>
      </c>
      <c r="BB63" s="48">
        <v>99</v>
      </c>
      <c r="BC63" s="49">
        <v>95.1923076923077</v>
      </c>
      <c r="BD63" s="48">
        <v>104</v>
      </c>
      <c r="BE63" s="48"/>
      <c r="BF63" s="48"/>
      <c r="BG63" s="48"/>
      <c r="BH63" s="48"/>
      <c r="BI63" s="48"/>
      <c r="BJ63" s="48"/>
      <c r="BK63" s="48" t="s">
        <v>686</v>
      </c>
      <c r="BL63" s="48" t="s">
        <v>686</v>
      </c>
      <c r="BM63" s="119" t="s">
        <v>1448</v>
      </c>
      <c r="BN63" s="119" t="s">
        <v>1502</v>
      </c>
      <c r="BO63" s="119" t="s">
        <v>1566</v>
      </c>
      <c r="BP63" s="119" t="s">
        <v>1566</v>
      </c>
      <c r="BQ63" s="2"/>
      <c r="BR63" s="3"/>
      <c r="BS63" s="3"/>
      <c r="BT63" s="3"/>
      <c r="BU63" s="3"/>
    </row>
    <row r="64" spans="1:73" ht="15">
      <c r="A64" s="66" t="s">
        <v>824</v>
      </c>
      <c r="B64" s="67"/>
      <c r="C64" s="67"/>
      <c r="D64" s="68">
        <v>200</v>
      </c>
      <c r="E64" s="124"/>
      <c r="F64" s="98" t="str">
        <f>HYPERLINK("https://yt3.ggpht.com/a/AATXAJySo9C2QE_ASxBBYVDC5rcBb1b-34R0le9f2yP9WQ=s88-c-k-c0xffffffff-no-rj-mo")</f>
        <v>https://yt3.ggpht.com/a/AATXAJySo9C2QE_ASxBBYVDC5rcBb1b-34R0le9f2yP9WQ=s88-c-k-c0xffffffff-no-rj-mo</v>
      </c>
      <c r="G64" s="125"/>
      <c r="H64" s="71" t="s">
        <v>1131</v>
      </c>
      <c r="I64" s="72"/>
      <c r="J64" s="126" t="s">
        <v>159</v>
      </c>
      <c r="K64" s="71" t="s">
        <v>1131</v>
      </c>
      <c r="L64" s="127">
        <v>1</v>
      </c>
      <c r="M64" s="76">
        <v>8665.8623046875</v>
      </c>
      <c r="N64" s="76">
        <v>4963.07666015625</v>
      </c>
      <c r="O64" s="77"/>
      <c r="P64" s="78"/>
      <c r="Q64" s="78"/>
      <c r="R64" s="128"/>
      <c r="S64" s="48">
        <v>0</v>
      </c>
      <c r="T64" s="48">
        <v>2</v>
      </c>
      <c r="U64" s="49">
        <v>10.833333</v>
      </c>
      <c r="V64" s="49">
        <v>0.00266</v>
      </c>
      <c r="W64" s="49">
        <v>0.005629</v>
      </c>
      <c r="X64" s="49">
        <v>0.701575</v>
      </c>
      <c r="Y64" s="49">
        <v>0</v>
      </c>
      <c r="Z64" s="49">
        <v>0</v>
      </c>
      <c r="AA64" s="73">
        <v>64</v>
      </c>
      <c r="AB64" s="73"/>
      <c r="AC64" s="74"/>
      <c r="AD64" s="90" t="s">
        <v>1131</v>
      </c>
      <c r="AE64" s="90"/>
      <c r="AF64" s="90"/>
      <c r="AG64" s="90"/>
      <c r="AH64" s="90"/>
      <c r="AI64" s="90"/>
      <c r="AJ64" s="96">
        <v>41369.683912037035</v>
      </c>
      <c r="AK64" s="93" t="str">
        <f>HYPERLINK("https://yt3.ggpht.com/a/AATXAJySo9C2QE_ASxBBYVDC5rcBb1b-34R0le9f2yP9WQ=s88-c-k-c0xffffffff-no-rj-mo")</f>
        <v>https://yt3.ggpht.com/a/AATXAJySo9C2QE_ASxBBYVDC5rcBb1b-34R0le9f2yP9WQ=s88-c-k-c0xffffffff-no-rj-mo</v>
      </c>
      <c r="AL64" s="90">
        <v>0</v>
      </c>
      <c r="AM64" s="90">
        <v>0</v>
      </c>
      <c r="AN64" s="90">
        <v>7</v>
      </c>
      <c r="AO64" s="90" t="b">
        <v>0</v>
      </c>
      <c r="AP64" s="90">
        <v>0</v>
      </c>
      <c r="AQ64" s="90"/>
      <c r="AR64" s="90"/>
      <c r="AS64" s="90" t="s">
        <v>341</v>
      </c>
      <c r="AT64" s="93" t="str">
        <f>HYPERLINK("https://www.youtube.com/channel/UCuFOndAULZ3uyRBasI9ahpg")</f>
        <v>https://www.youtube.com/channel/UCuFOndAULZ3uyRBasI9ahpg</v>
      </c>
      <c r="AU64" s="89" t="str">
        <f>REPLACE(INDEX(GroupVertices[Group],MATCH(Vertices[[#This Row],[Vertex]],GroupVertices[Vertex],0)),1,1,"")</f>
        <v>6</v>
      </c>
      <c r="AV64" s="48">
        <v>11</v>
      </c>
      <c r="AW64" s="49">
        <v>4.583333333333333</v>
      </c>
      <c r="AX64" s="48">
        <v>8</v>
      </c>
      <c r="AY64" s="49">
        <v>3.3333333333333335</v>
      </c>
      <c r="AZ64" s="48">
        <v>0</v>
      </c>
      <c r="BA64" s="49">
        <v>0</v>
      </c>
      <c r="BB64" s="48">
        <v>221</v>
      </c>
      <c r="BC64" s="49">
        <v>92.08333333333333</v>
      </c>
      <c r="BD64" s="48">
        <v>240</v>
      </c>
      <c r="BE64" s="48"/>
      <c r="BF64" s="48"/>
      <c r="BG64" s="48"/>
      <c r="BH64" s="48"/>
      <c r="BI64" s="48"/>
      <c r="BJ64" s="48"/>
      <c r="BK64" s="48" t="s">
        <v>686</v>
      </c>
      <c r="BL64" s="48" t="s">
        <v>686</v>
      </c>
      <c r="BM64" s="119" t="s">
        <v>1449</v>
      </c>
      <c r="BN64" s="119" t="s">
        <v>1449</v>
      </c>
      <c r="BO64" s="119" t="s">
        <v>1567</v>
      </c>
      <c r="BP64" s="119" t="s">
        <v>1567</v>
      </c>
      <c r="BQ64" s="2"/>
      <c r="BR64" s="3"/>
      <c r="BS64" s="3"/>
      <c r="BT64" s="3"/>
      <c r="BU64" s="3"/>
    </row>
    <row r="65" spans="1:73" ht="15">
      <c r="A65" s="66" t="s">
        <v>826</v>
      </c>
      <c r="B65" s="67"/>
      <c r="C65" s="67"/>
      <c r="D65" s="68">
        <v>200</v>
      </c>
      <c r="E65" s="124"/>
      <c r="F65" s="98" t="str">
        <f>HYPERLINK("https://yt3.ggpht.com/a/AATXAJzkQuJbAH7KXlc1iw35jBfpNxpMNNa-NxSyBO0YKQ=s88-c-k-c0xffffffff-no-rj-mo")</f>
        <v>https://yt3.ggpht.com/a/AATXAJzkQuJbAH7KXlc1iw35jBfpNxpMNNa-NxSyBO0YKQ=s88-c-k-c0xffffffff-no-rj-mo</v>
      </c>
      <c r="G65" s="125"/>
      <c r="H65" s="71" t="s">
        <v>1133</v>
      </c>
      <c r="I65" s="72"/>
      <c r="J65" s="126" t="s">
        <v>159</v>
      </c>
      <c r="K65" s="71" t="s">
        <v>1133</v>
      </c>
      <c r="L65" s="127">
        <v>1</v>
      </c>
      <c r="M65" s="76">
        <v>3916.8056640625</v>
      </c>
      <c r="N65" s="76">
        <v>1732.6923828125</v>
      </c>
      <c r="O65" s="77"/>
      <c r="P65" s="78"/>
      <c r="Q65" s="78"/>
      <c r="R65" s="128"/>
      <c r="S65" s="48">
        <v>0</v>
      </c>
      <c r="T65" s="48">
        <v>1</v>
      </c>
      <c r="U65" s="49">
        <v>0</v>
      </c>
      <c r="V65" s="49">
        <v>0.002577</v>
      </c>
      <c r="W65" s="49">
        <v>0.002008</v>
      </c>
      <c r="X65" s="49">
        <v>0.418141</v>
      </c>
      <c r="Y65" s="49">
        <v>0</v>
      </c>
      <c r="Z65" s="49">
        <v>0</v>
      </c>
      <c r="AA65" s="73">
        <v>65</v>
      </c>
      <c r="AB65" s="73"/>
      <c r="AC65" s="74"/>
      <c r="AD65" s="90" t="s">
        <v>1133</v>
      </c>
      <c r="AE65" s="90"/>
      <c r="AF65" s="90"/>
      <c r="AG65" s="90"/>
      <c r="AH65" s="90"/>
      <c r="AI65" s="90"/>
      <c r="AJ65" s="96">
        <v>42348.93509259259</v>
      </c>
      <c r="AK65" s="93" t="str">
        <f>HYPERLINK("https://yt3.ggpht.com/a/AATXAJzkQuJbAH7KXlc1iw35jBfpNxpMNNa-NxSyBO0YKQ=s88-c-k-c0xffffffff-no-rj-mo")</f>
        <v>https://yt3.ggpht.com/a/AATXAJzkQuJbAH7KXlc1iw35jBfpNxpMNNa-NxSyBO0YKQ=s88-c-k-c0xffffffff-no-rj-mo</v>
      </c>
      <c r="AL65" s="90">
        <v>0</v>
      </c>
      <c r="AM65" s="90">
        <v>0</v>
      </c>
      <c r="AN65" s="90">
        <v>14</v>
      </c>
      <c r="AO65" s="90" t="b">
        <v>0</v>
      </c>
      <c r="AP65" s="90">
        <v>0</v>
      </c>
      <c r="AQ65" s="90"/>
      <c r="AR65" s="90"/>
      <c r="AS65" s="90" t="s">
        <v>341</v>
      </c>
      <c r="AT65" s="93" t="str">
        <f>HYPERLINK("https://www.youtube.com/channel/UCmJgjUswcF2Q7mo3cJ364Sg")</f>
        <v>https://www.youtube.com/channel/UCmJgjUswcF2Q7mo3cJ364Sg</v>
      </c>
      <c r="AU65" s="89" t="str">
        <f>REPLACE(INDEX(GroupVertices[Group],MATCH(Vertices[[#This Row],[Vertex]],GroupVertices[Vertex],0)),1,1,"")</f>
        <v>2</v>
      </c>
      <c r="AV65" s="48">
        <v>0</v>
      </c>
      <c r="AW65" s="49">
        <v>0</v>
      </c>
      <c r="AX65" s="48">
        <v>0</v>
      </c>
      <c r="AY65" s="49">
        <v>0</v>
      </c>
      <c r="AZ65" s="48">
        <v>0</v>
      </c>
      <c r="BA65" s="49">
        <v>0</v>
      </c>
      <c r="BB65" s="48">
        <v>5</v>
      </c>
      <c r="BC65" s="49">
        <v>100</v>
      </c>
      <c r="BD65" s="48">
        <v>5</v>
      </c>
      <c r="BE65" s="48"/>
      <c r="BF65" s="48"/>
      <c r="BG65" s="48"/>
      <c r="BH65" s="48"/>
      <c r="BI65" s="48"/>
      <c r="BJ65" s="48"/>
      <c r="BK65" s="48" t="s">
        <v>1347</v>
      </c>
      <c r="BL65" s="48" t="s">
        <v>1347</v>
      </c>
      <c r="BM65" s="119" t="s">
        <v>403</v>
      </c>
      <c r="BN65" s="119" t="s">
        <v>403</v>
      </c>
      <c r="BO65" s="119" t="s">
        <v>708</v>
      </c>
      <c r="BP65" s="119" t="s">
        <v>708</v>
      </c>
      <c r="BQ65" s="2"/>
      <c r="BR65" s="3"/>
      <c r="BS65" s="3"/>
      <c r="BT65" s="3"/>
      <c r="BU65" s="3"/>
    </row>
    <row r="66" spans="1:73" ht="15">
      <c r="A66" s="66" t="s">
        <v>829</v>
      </c>
      <c r="B66" s="67"/>
      <c r="C66" s="67"/>
      <c r="D66" s="68">
        <v>840</v>
      </c>
      <c r="E66" s="124"/>
      <c r="F66" s="98" t="str">
        <f>HYPERLINK("https://yt3.ggpht.com/a/AATXAJwjY5Lcp1C4b20sxscWKUYdhdJVkKwQBo5KSyMf7g=s88-c-k-c0xffffffff-no-rj-mo")</f>
        <v>https://yt3.ggpht.com/a/AATXAJwjY5Lcp1C4b20sxscWKUYdhdJVkKwQBo5KSyMf7g=s88-c-k-c0xffffffff-no-rj-mo</v>
      </c>
      <c r="G66" s="125"/>
      <c r="H66" s="71" t="s">
        <v>1136</v>
      </c>
      <c r="I66" s="72"/>
      <c r="J66" s="126" t="s">
        <v>75</v>
      </c>
      <c r="K66" s="71" t="s">
        <v>1136</v>
      </c>
      <c r="L66" s="127">
        <v>953.1904761904761</v>
      </c>
      <c r="M66" s="76">
        <v>2694.757080078125</v>
      </c>
      <c r="N66" s="76">
        <v>1831.7613525390625</v>
      </c>
      <c r="O66" s="77"/>
      <c r="P66" s="78"/>
      <c r="Q66" s="78"/>
      <c r="R66" s="128"/>
      <c r="S66" s="48">
        <v>4</v>
      </c>
      <c r="T66" s="48">
        <v>1</v>
      </c>
      <c r="U66" s="49">
        <v>430.553411</v>
      </c>
      <c r="V66" s="49">
        <v>0.003584</v>
      </c>
      <c r="W66" s="49">
        <v>0.015029</v>
      </c>
      <c r="X66" s="49">
        <v>1.577301</v>
      </c>
      <c r="Y66" s="49">
        <v>0</v>
      </c>
      <c r="Z66" s="49">
        <v>0</v>
      </c>
      <c r="AA66" s="73">
        <v>66</v>
      </c>
      <c r="AB66" s="73"/>
      <c r="AC66" s="74"/>
      <c r="AD66" s="90" t="s">
        <v>1136</v>
      </c>
      <c r="AE66" s="90" t="s">
        <v>1241</v>
      </c>
      <c r="AF66" s="90"/>
      <c r="AG66" s="90"/>
      <c r="AH66" s="90"/>
      <c r="AI66" s="90"/>
      <c r="AJ66" s="96">
        <v>40110.91412037037</v>
      </c>
      <c r="AK66" s="93" t="str">
        <f>HYPERLINK("https://yt3.ggpht.com/a/AATXAJwjY5Lcp1C4b20sxscWKUYdhdJVkKwQBo5KSyMf7g=s88-c-k-c0xffffffff-no-rj-mo")</f>
        <v>https://yt3.ggpht.com/a/AATXAJwjY5Lcp1C4b20sxscWKUYdhdJVkKwQBo5KSyMf7g=s88-c-k-c0xffffffff-no-rj-mo</v>
      </c>
      <c r="AL66" s="90">
        <v>122037</v>
      </c>
      <c r="AM66" s="90">
        <v>0</v>
      </c>
      <c r="AN66" s="90">
        <v>179</v>
      </c>
      <c r="AO66" s="90" t="b">
        <v>0</v>
      </c>
      <c r="AP66" s="90">
        <v>40</v>
      </c>
      <c r="AQ66" s="90"/>
      <c r="AR66" s="90"/>
      <c r="AS66" s="90" t="s">
        <v>341</v>
      </c>
      <c r="AT66" s="93" t="str">
        <f>HYPERLINK("https://www.youtube.com/channel/UCPeJ687jzKmPpzaXaAUMhPQ")</f>
        <v>https://www.youtube.com/channel/UCPeJ687jzKmPpzaXaAUMhPQ</v>
      </c>
      <c r="AU66" s="89" t="str">
        <f>REPLACE(INDEX(GroupVertices[Group],MATCH(Vertices[[#This Row],[Vertex]],GroupVertices[Vertex],0)),1,1,"")</f>
        <v>2</v>
      </c>
      <c r="AV66" s="48">
        <v>1</v>
      </c>
      <c r="AW66" s="49">
        <v>12.5</v>
      </c>
      <c r="AX66" s="48">
        <v>1</v>
      </c>
      <c r="AY66" s="49">
        <v>12.5</v>
      </c>
      <c r="AZ66" s="48">
        <v>0</v>
      </c>
      <c r="BA66" s="49">
        <v>0</v>
      </c>
      <c r="BB66" s="48">
        <v>6</v>
      </c>
      <c r="BC66" s="49">
        <v>75</v>
      </c>
      <c r="BD66" s="48">
        <v>8</v>
      </c>
      <c r="BE66" s="48"/>
      <c r="BF66" s="48"/>
      <c r="BG66" s="48"/>
      <c r="BH66" s="48"/>
      <c r="BI66" s="48"/>
      <c r="BJ66" s="48"/>
      <c r="BK66" s="48" t="s">
        <v>1347</v>
      </c>
      <c r="BL66" s="48" t="s">
        <v>1347</v>
      </c>
      <c r="BM66" s="119" t="s">
        <v>1450</v>
      </c>
      <c r="BN66" s="119" t="s">
        <v>1450</v>
      </c>
      <c r="BO66" s="119" t="s">
        <v>1568</v>
      </c>
      <c r="BP66" s="119" t="s">
        <v>1568</v>
      </c>
      <c r="BQ66" s="2"/>
      <c r="BR66" s="3"/>
      <c r="BS66" s="3"/>
      <c r="BT66" s="3"/>
      <c r="BU66" s="3"/>
    </row>
    <row r="67" spans="1:73" ht="15">
      <c r="A67" s="66" t="s">
        <v>827</v>
      </c>
      <c r="B67" s="67"/>
      <c r="C67" s="67"/>
      <c r="D67" s="68">
        <v>200</v>
      </c>
      <c r="E67" s="124"/>
      <c r="F67" s="98" t="str">
        <f>HYPERLINK("https://yt3.ggpht.com/a/AATXAJz93Xo5VZSOOF37JNjPmh3ClkesrW8nDjoQij5O10I=s88-c-k-c0xffffffff-no-rj-mo")</f>
        <v>https://yt3.ggpht.com/a/AATXAJz93Xo5VZSOOF37JNjPmh3ClkesrW8nDjoQij5O10I=s88-c-k-c0xffffffff-no-rj-mo</v>
      </c>
      <c r="G67" s="125"/>
      <c r="H67" s="71" t="s">
        <v>1134</v>
      </c>
      <c r="I67" s="72"/>
      <c r="J67" s="126" t="s">
        <v>159</v>
      </c>
      <c r="K67" s="71" t="s">
        <v>1134</v>
      </c>
      <c r="L67" s="127">
        <v>1</v>
      </c>
      <c r="M67" s="76">
        <v>9594.4619140625</v>
      </c>
      <c r="N67" s="76">
        <v>962.070068359375</v>
      </c>
      <c r="O67" s="77"/>
      <c r="P67" s="78"/>
      <c r="Q67" s="78"/>
      <c r="R67" s="128"/>
      <c r="S67" s="48">
        <v>0</v>
      </c>
      <c r="T67" s="48">
        <v>3</v>
      </c>
      <c r="U67" s="49">
        <v>9.581818</v>
      </c>
      <c r="V67" s="49">
        <v>0.002618</v>
      </c>
      <c r="W67" s="49">
        <v>0.005762</v>
      </c>
      <c r="X67" s="49">
        <v>0.968418</v>
      </c>
      <c r="Y67" s="49">
        <v>0</v>
      </c>
      <c r="Z67" s="49">
        <v>0</v>
      </c>
      <c r="AA67" s="73">
        <v>67</v>
      </c>
      <c r="AB67" s="73"/>
      <c r="AC67" s="74"/>
      <c r="AD67" s="90" t="s">
        <v>1134</v>
      </c>
      <c r="AE67" s="90"/>
      <c r="AF67" s="90"/>
      <c r="AG67" s="90"/>
      <c r="AH67" s="90"/>
      <c r="AI67" s="90" t="s">
        <v>1249</v>
      </c>
      <c r="AJ67" s="96">
        <v>38858.732094907406</v>
      </c>
      <c r="AK67" s="93" t="str">
        <f>HYPERLINK("https://yt3.ggpht.com/a/AATXAJz93Xo5VZSOOF37JNjPmh3ClkesrW8nDjoQij5O10I=s88-c-k-c0xffffffff-no-rj-mo")</f>
        <v>https://yt3.ggpht.com/a/AATXAJz93Xo5VZSOOF37JNjPmh3ClkesrW8nDjoQij5O10I=s88-c-k-c0xffffffff-no-rj-mo</v>
      </c>
      <c r="AL67" s="90">
        <v>91</v>
      </c>
      <c r="AM67" s="90">
        <v>0</v>
      </c>
      <c r="AN67" s="90">
        <v>1</v>
      </c>
      <c r="AO67" s="90" t="b">
        <v>0</v>
      </c>
      <c r="AP67" s="90">
        <v>3</v>
      </c>
      <c r="AQ67" s="90"/>
      <c r="AR67" s="90"/>
      <c r="AS67" s="90" t="s">
        <v>341</v>
      </c>
      <c r="AT67" s="93" t="str">
        <f>HYPERLINK("https://www.youtube.com/channel/UCbTEPPnor25BJIqAb_ZmhAA")</f>
        <v>https://www.youtube.com/channel/UCbTEPPnor25BJIqAb_ZmhAA</v>
      </c>
      <c r="AU67" s="89" t="str">
        <f>REPLACE(INDEX(GroupVertices[Group],MATCH(Vertices[[#This Row],[Vertex]],GroupVertices[Vertex],0)),1,1,"")</f>
        <v>9</v>
      </c>
      <c r="AV67" s="48">
        <v>0</v>
      </c>
      <c r="AW67" s="49">
        <v>0</v>
      </c>
      <c r="AX67" s="48">
        <v>1</v>
      </c>
      <c r="AY67" s="49">
        <v>2.2222222222222223</v>
      </c>
      <c r="AZ67" s="48">
        <v>0</v>
      </c>
      <c r="BA67" s="49">
        <v>0</v>
      </c>
      <c r="BB67" s="48">
        <v>44</v>
      </c>
      <c r="BC67" s="49">
        <v>97.77777777777777</v>
      </c>
      <c r="BD67" s="48">
        <v>45</v>
      </c>
      <c r="BE67" s="48"/>
      <c r="BF67" s="48"/>
      <c r="BG67" s="48"/>
      <c r="BH67" s="48"/>
      <c r="BI67" s="48"/>
      <c r="BJ67" s="48"/>
      <c r="BK67" s="48" t="s">
        <v>1347</v>
      </c>
      <c r="BL67" s="48" t="s">
        <v>1347</v>
      </c>
      <c r="BM67" s="119" t="s">
        <v>1451</v>
      </c>
      <c r="BN67" s="119" t="s">
        <v>1451</v>
      </c>
      <c r="BO67" s="119" t="s">
        <v>1569</v>
      </c>
      <c r="BP67" s="119" t="s">
        <v>1569</v>
      </c>
      <c r="BQ67" s="2"/>
      <c r="BR67" s="3"/>
      <c r="BS67" s="3"/>
      <c r="BT67" s="3"/>
      <c r="BU67" s="3"/>
    </row>
    <row r="68" spans="1:73" ht="15">
      <c r="A68" s="66" t="s">
        <v>828</v>
      </c>
      <c r="B68" s="67"/>
      <c r="C68" s="67"/>
      <c r="D68" s="68">
        <v>200</v>
      </c>
      <c r="E68" s="124"/>
      <c r="F68" s="98" t="str">
        <f>HYPERLINK("https://yt3.ggpht.com/a/AATXAJwFwyTtFl9buJh2YPe8Z0bjcfVe5rwRE3kPJJhDiw=s88-c-k-c0xffffffff-no-rj-mo")</f>
        <v>https://yt3.ggpht.com/a/AATXAJwFwyTtFl9buJh2YPe8Z0bjcfVe5rwRE3kPJJhDiw=s88-c-k-c0xffffffff-no-rj-mo</v>
      </c>
      <c r="G68" s="125"/>
      <c r="H68" s="71" t="s">
        <v>1135</v>
      </c>
      <c r="I68" s="72"/>
      <c r="J68" s="126" t="s">
        <v>159</v>
      </c>
      <c r="K68" s="71" t="s">
        <v>1135</v>
      </c>
      <c r="L68" s="127">
        <v>1</v>
      </c>
      <c r="M68" s="76">
        <v>1590.3201904296875</v>
      </c>
      <c r="N68" s="76">
        <v>1636.0865478515625</v>
      </c>
      <c r="O68" s="77"/>
      <c r="P68" s="78"/>
      <c r="Q68" s="78"/>
      <c r="R68" s="128"/>
      <c r="S68" s="48">
        <v>0</v>
      </c>
      <c r="T68" s="48">
        <v>2</v>
      </c>
      <c r="U68" s="49">
        <v>10.481818</v>
      </c>
      <c r="V68" s="49">
        <v>0.00266</v>
      </c>
      <c r="W68" s="49">
        <v>0.0043</v>
      </c>
      <c r="X68" s="49">
        <v>0.688984</v>
      </c>
      <c r="Y68" s="49">
        <v>0</v>
      </c>
      <c r="Z68" s="49">
        <v>0</v>
      </c>
      <c r="AA68" s="73">
        <v>68</v>
      </c>
      <c r="AB68" s="73"/>
      <c r="AC68" s="74"/>
      <c r="AD68" s="90" t="s">
        <v>1135</v>
      </c>
      <c r="AE68" s="90"/>
      <c r="AF68" s="90"/>
      <c r="AG68" s="90"/>
      <c r="AH68" s="90"/>
      <c r="AI68" s="90"/>
      <c r="AJ68" s="96">
        <v>41265.494421296295</v>
      </c>
      <c r="AK68" s="93" t="str">
        <f>HYPERLINK("https://yt3.ggpht.com/a/AATXAJwFwyTtFl9buJh2YPe8Z0bjcfVe5rwRE3kPJJhDiw=s88-c-k-c0xffffffff-no-rj-mo")</f>
        <v>https://yt3.ggpht.com/a/AATXAJwFwyTtFl9buJh2YPe8Z0bjcfVe5rwRE3kPJJhDiw=s88-c-k-c0xffffffff-no-rj-mo</v>
      </c>
      <c r="AL68" s="90">
        <v>0</v>
      </c>
      <c r="AM68" s="90">
        <v>0</v>
      </c>
      <c r="AN68" s="90">
        <v>4</v>
      </c>
      <c r="AO68" s="90" t="b">
        <v>0</v>
      </c>
      <c r="AP68" s="90">
        <v>0</v>
      </c>
      <c r="AQ68" s="90"/>
      <c r="AR68" s="90"/>
      <c r="AS68" s="90" t="s">
        <v>341</v>
      </c>
      <c r="AT68" s="93" t="str">
        <f>HYPERLINK("https://www.youtube.com/channel/UCxLES-3tK4vhQ8cLIIm7sYA")</f>
        <v>https://www.youtube.com/channel/UCxLES-3tK4vhQ8cLIIm7sYA</v>
      </c>
      <c r="AU68" s="89" t="str">
        <f>REPLACE(INDEX(GroupVertices[Group],MATCH(Vertices[[#This Row],[Vertex]],GroupVertices[Vertex],0)),1,1,"")</f>
        <v>2</v>
      </c>
      <c r="AV68" s="48">
        <v>0</v>
      </c>
      <c r="AW68" s="49">
        <v>0</v>
      </c>
      <c r="AX68" s="48">
        <v>4</v>
      </c>
      <c r="AY68" s="49">
        <v>3.5714285714285716</v>
      </c>
      <c r="AZ68" s="48">
        <v>0</v>
      </c>
      <c r="BA68" s="49">
        <v>0</v>
      </c>
      <c r="BB68" s="48">
        <v>108</v>
      </c>
      <c r="BC68" s="49">
        <v>96.42857142857143</v>
      </c>
      <c r="BD68" s="48">
        <v>112</v>
      </c>
      <c r="BE68" s="48"/>
      <c r="BF68" s="48"/>
      <c r="BG68" s="48"/>
      <c r="BH68" s="48"/>
      <c r="BI68" s="48"/>
      <c r="BJ68" s="48"/>
      <c r="BK68" s="48" t="s">
        <v>1349</v>
      </c>
      <c r="BL68" s="48" t="s">
        <v>1348</v>
      </c>
      <c r="BM68" s="119" t="s">
        <v>1452</v>
      </c>
      <c r="BN68" s="119" t="s">
        <v>1503</v>
      </c>
      <c r="BO68" s="119" t="s">
        <v>1570</v>
      </c>
      <c r="BP68" s="119" t="s">
        <v>1616</v>
      </c>
      <c r="BQ68" s="2"/>
      <c r="BR68" s="3"/>
      <c r="BS68" s="3"/>
      <c r="BT68" s="3"/>
      <c r="BU68" s="3"/>
    </row>
    <row r="69" spans="1:73" ht="15">
      <c r="A69" s="66" t="s">
        <v>830</v>
      </c>
      <c r="B69" s="67"/>
      <c r="C69" s="67"/>
      <c r="D69" s="68">
        <v>200</v>
      </c>
      <c r="E69" s="124"/>
      <c r="F69" s="98" t="str">
        <f>HYPERLINK("https://yt3.ggpht.com/a/AATXAJwaJ5M1xCcdIWH0auS4Wn2n41t_XOZ8IMfSpH2y=s88-c-k-c0xffffffff-no-rj-mo")</f>
        <v>https://yt3.ggpht.com/a/AATXAJwaJ5M1xCcdIWH0auS4Wn2n41t_XOZ8IMfSpH2y=s88-c-k-c0xffffffff-no-rj-mo</v>
      </c>
      <c r="G69" s="125"/>
      <c r="H69" s="71" t="s">
        <v>1137</v>
      </c>
      <c r="I69" s="72"/>
      <c r="J69" s="126" t="s">
        <v>159</v>
      </c>
      <c r="K69" s="71" t="s">
        <v>1137</v>
      </c>
      <c r="L69" s="127">
        <v>1</v>
      </c>
      <c r="M69" s="76">
        <v>6053.56103515625</v>
      </c>
      <c r="N69" s="76">
        <v>5781.30517578125</v>
      </c>
      <c r="O69" s="77"/>
      <c r="P69" s="78"/>
      <c r="Q69" s="78"/>
      <c r="R69" s="128"/>
      <c r="S69" s="48">
        <v>0</v>
      </c>
      <c r="T69" s="48">
        <v>1</v>
      </c>
      <c r="U69" s="49">
        <v>0</v>
      </c>
      <c r="V69" s="49">
        <v>0.002604</v>
      </c>
      <c r="W69" s="49">
        <v>0.002994</v>
      </c>
      <c r="X69" s="49">
        <v>0.406202</v>
      </c>
      <c r="Y69" s="49">
        <v>0</v>
      </c>
      <c r="Z69" s="49">
        <v>0</v>
      </c>
      <c r="AA69" s="73">
        <v>69</v>
      </c>
      <c r="AB69" s="73"/>
      <c r="AC69" s="74"/>
      <c r="AD69" s="90" t="s">
        <v>1137</v>
      </c>
      <c r="AE69" s="90"/>
      <c r="AF69" s="90"/>
      <c r="AG69" s="90"/>
      <c r="AH69" s="90"/>
      <c r="AI69" s="90"/>
      <c r="AJ69" s="96">
        <v>41561.06230324074</v>
      </c>
      <c r="AK69" s="93" t="str">
        <f>HYPERLINK("https://yt3.ggpht.com/a/AATXAJwaJ5M1xCcdIWH0auS4Wn2n41t_XOZ8IMfSpH2y=s88-c-k-c0xffffffff-no-rj-mo")</f>
        <v>https://yt3.ggpht.com/a/AATXAJwaJ5M1xCcdIWH0auS4Wn2n41t_XOZ8IMfSpH2y=s88-c-k-c0xffffffff-no-rj-mo</v>
      </c>
      <c r="AL69" s="90">
        <v>0</v>
      </c>
      <c r="AM69" s="90">
        <v>0</v>
      </c>
      <c r="AN69" s="90">
        <v>4</v>
      </c>
      <c r="AO69" s="90" t="b">
        <v>0</v>
      </c>
      <c r="AP69" s="90">
        <v>0</v>
      </c>
      <c r="AQ69" s="90"/>
      <c r="AR69" s="90"/>
      <c r="AS69" s="90" t="s">
        <v>341</v>
      </c>
      <c r="AT69" s="93" t="str">
        <f>HYPERLINK("https://www.youtube.com/channel/UClwdEiKlRcZPJs5YYFDRygw")</f>
        <v>https://www.youtube.com/channel/UClwdEiKlRcZPJs5YYFDRygw</v>
      </c>
      <c r="AU69" s="89" t="str">
        <f>REPLACE(INDEX(GroupVertices[Group],MATCH(Vertices[[#This Row],[Vertex]],GroupVertices[Vertex],0)),1,1,"")</f>
        <v>4</v>
      </c>
      <c r="AV69" s="48">
        <v>6</v>
      </c>
      <c r="AW69" s="49">
        <v>5.555555555555555</v>
      </c>
      <c r="AX69" s="48">
        <v>4</v>
      </c>
      <c r="AY69" s="49">
        <v>3.7037037037037037</v>
      </c>
      <c r="AZ69" s="48">
        <v>0</v>
      </c>
      <c r="BA69" s="49">
        <v>0</v>
      </c>
      <c r="BB69" s="48">
        <v>98</v>
      </c>
      <c r="BC69" s="49">
        <v>90.74074074074075</v>
      </c>
      <c r="BD69" s="48">
        <v>108</v>
      </c>
      <c r="BE69" s="48"/>
      <c r="BF69" s="48"/>
      <c r="BG69" s="48"/>
      <c r="BH69" s="48"/>
      <c r="BI69" s="48"/>
      <c r="BJ69" s="48"/>
      <c r="BK69" s="48" t="s">
        <v>686</v>
      </c>
      <c r="BL69" s="48" t="s">
        <v>686</v>
      </c>
      <c r="BM69" s="119" t="s">
        <v>1453</v>
      </c>
      <c r="BN69" s="119" t="s">
        <v>1504</v>
      </c>
      <c r="BO69" s="119" t="s">
        <v>1571</v>
      </c>
      <c r="BP69" s="119" t="s">
        <v>1571</v>
      </c>
      <c r="BQ69" s="2"/>
      <c r="BR69" s="3"/>
      <c r="BS69" s="3"/>
      <c r="BT69" s="3"/>
      <c r="BU69" s="3"/>
    </row>
    <row r="70" spans="1:73" ht="15">
      <c r="A70" s="66" t="s">
        <v>834</v>
      </c>
      <c r="B70" s="67"/>
      <c r="C70" s="67"/>
      <c r="D70" s="68">
        <v>1000</v>
      </c>
      <c r="E70" s="124"/>
      <c r="F70" s="98" t="str">
        <f>HYPERLINK("https://yt3.ggpht.com/a/AATXAJyckXPSsrJrzyB9Wyjhld8fT9aIeo-NDP-Q4w=s88-c-k-c0xffffffff-no-rj-mo")</f>
        <v>https://yt3.ggpht.com/a/AATXAJyckXPSsrJrzyB9Wyjhld8fT9aIeo-NDP-Q4w=s88-c-k-c0xffffffff-no-rj-mo</v>
      </c>
      <c r="G70" s="125"/>
      <c r="H70" s="71" t="s">
        <v>1141</v>
      </c>
      <c r="I70" s="72"/>
      <c r="J70" s="126" t="s">
        <v>75</v>
      </c>
      <c r="K70" s="71" t="s">
        <v>1141</v>
      </c>
      <c r="L70" s="127">
        <v>1667.3333333333333</v>
      </c>
      <c r="M70" s="76">
        <v>5523.251953125</v>
      </c>
      <c r="N70" s="76">
        <v>5312.8818359375</v>
      </c>
      <c r="O70" s="77"/>
      <c r="P70" s="78"/>
      <c r="Q70" s="78"/>
      <c r="R70" s="128"/>
      <c r="S70" s="48">
        <v>7</v>
      </c>
      <c r="T70" s="48">
        <v>2</v>
      </c>
      <c r="U70" s="49">
        <v>703.543111</v>
      </c>
      <c r="V70" s="49">
        <v>0.003636</v>
      </c>
      <c r="W70" s="49">
        <v>0.022402</v>
      </c>
      <c r="X70" s="49">
        <v>2.411311</v>
      </c>
      <c r="Y70" s="49">
        <v>0</v>
      </c>
      <c r="Z70" s="49">
        <v>0</v>
      </c>
      <c r="AA70" s="73">
        <v>70</v>
      </c>
      <c r="AB70" s="73"/>
      <c r="AC70" s="74"/>
      <c r="AD70" s="90" t="s">
        <v>1141</v>
      </c>
      <c r="AE70" s="90"/>
      <c r="AF70" s="90"/>
      <c r="AG70" s="90"/>
      <c r="AH70" s="90"/>
      <c r="AI70" s="90"/>
      <c r="AJ70" s="96">
        <v>41054.63267361111</v>
      </c>
      <c r="AK70" s="93" t="str">
        <f>HYPERLINK("https://yt3.ggpht.com/a/AATXAJyckXPSsrJrzyB9Wyjhld8fT9aIeo-NDP-Q4w=s88-c-k-c0xffffffff-no-rj-mo")</f>
        <v>https://yt3.ggpht.com/a/AATXAJyckXPSsrJrzyB9Wyjhld8fT9aIeo-NDP-Q4w=s88-c-k-c0xffffffff-no-rj-mo</v>
      </c>
      <c r="AL70" s="90">
        <v>704</v>
      </c>
      <c r="AM70" s="90">
        <v>0</v>
      </c>
      <c r="AN70" s="90">
        <v>56</v>
      </c>
      <c r="AO70" s="90" t="b">
        <v>0</v>
      </c>
      <c r="AP70" s="90">
        <v>1</v>
      </c>
      <c r="AQ70" s="90"/>
      <c r="AR70" s="90"/>
      <c r="AS70" s="90" t="s">
        <v>341</v>
      </c>
      <c r="AT70" s="93" t="str">
        <f>HYPERLINK("https://www.youtube.com/channel/UC7nM_6yyE5e46kBfFap5QpA")</f>
        <v>https://www.youtube.com/channel/UC7nM_6yyE5e46kBfFap5QpA</v>
      </c>
      <c r="AU70" s="89" t="str">
        <f>REPLACE(INDEX(GroupVertices[Group],MATCH(Vertices[[#This Row],[Vertex]],GroupVertices[Vertex],0)),1,1,"")</f>
        <v>4</v>
      </c>
      <c r="AV70" s="48">
        <v>4</v>
      </c>
      <c r="AW70" s="49">
        <v>2.962962962962963</v>
      </c>
      <c r="AX70" s="48">
        <v>6</v>
      </c>
      <c r="AY70" s="49">
        <v>4.444444444444445</v>
      </c>
      <c r="AZ70" s="48">
        <v>0</v>
      </c>
      <c r="BA70" s="49">
        <v>0</v>
      </c>
      <c r="BB70" s="48">
        <v>125</v>
      </c>
      <c r="BC70" s="49">
        <v>92.5925925925926</v>
      </c>
      <c r="BD70" s="48">
        <v>135</v>
      </c>
      <c r="BE70" s="48"/>
      <c r="BF70" s="48"/>
      <c r="BG70" s="48"/>
      <c r="BH70" s="48"/>
      <c r="BI70" s="48"/>
      <c r="BJ70" s="48"/>
      <c r="BK70" s="48" t="s">
        <v>1349</v>
      </c>
      <c r="BL70" s="48" t="s">
        <v>1348</v>
      </c>
      <c r="BM70" s="119" t="s">
        <v>1454</v>
      </c>
      <c r="BN70" s="119" t="s">
        <v>1505</v>
      </c>
      <c r="BO70" s="119" t="s">
        <v>1572</v>
      </c>
      <c r="BP70" s="119" t="s">
        <v>1572</v>
      </c>
      <c r="BQ70" s="2"/>
      <c r="BR70" s="3"/>
      <c r="BS70" s="3"/>
      <c r="BT70" s="3"/>
      <c r="BU70" s="3"/>
    </row>
    <row r="71" spans="1:73" ht="15">
      <c r="A71" s="66" t="s">
        <v>831</v>
      </c>
      <c r="B71" s="67"/>
      <c r="C71" s="67"/>
      <c r="D71" s="68">
        <v>200</v>
      </c>
      <c r="E71" s="124"/>
      <c r="F71" s="98" t="str">
        <f>HYPERLINK("https://yt3.ggpht.com/a/AATXAJwqIrzCUwKZV59RZZs9UM0OPWsxyBlp9y7oOw=s88-c-k-c0xffffffff-no-rj-mo")</f>
        <v>https://yt3.ggpht.com/a/AATXAJwqIrzCUwKZV59RZZs9UM0OPWsxyBlp9y7oOw=s88-c-k-c0xffffffff-no-rj-mo</v>
      </c>
      <c r="G71" s="125"/>
      <c r="H71" s="71" t="s">
        <v>1138</v>
      </c>
      <c r="I71" s="72"/>
      <c r="J71" s="126" t="s">
        <v>159</v>
      </c>
      <c r="K71" s="71" t="s">
        <v>1138</v>
      </c>
      <c r="L71" s="127">
        <v>1</v>
      </c>
      <c r="M71" s="76">
        <v>5664.2890625</v>
      </c>
      <c r="N71" s="76">
        <v>6061.02294921875</v>
      </c>
      <c r="O71" s="77"/>
      <c r="P71" s="78"/>
      <c r="Q71" s="78"/>
      <c r="R71" s="128"/>
      <c r="S71" s="48">
        <v>0</v>
      </c>
      <c r="T71" s="48">
        <v>1</v>
      </c>
      <c r="U71" s="49">
        <v>0</v>
      </c>
      <c r="V71" s="49">
        <v>0.002604</v>
      </c>
      <c r="W71" s="49">
        <v>0.002994</v>
      </c>
      <c r="X71" s="49">
        <v>0.406202</v>
      </c>
      <c r="Y71" s="49">
        <v>0</v>
      </c>
      <c r="Z71" s="49">
        <v>0</v>
      </c>
      <c r="AA71" s="73">
        <v>71</v>
      </c>
      <c r="AB71" s="73"/>
      <c r="AC71" s="74"/>
      <c r="AD71" s="90" t="s">
        <v>1138</v>
      </c>
      <c r="AE71" s="90"/>
      <c r="AF71" s="90"/>
      <c r="AG71" s="90"/>
      <c r="AH71" s="90"/>
      <c r="AI71" s="90"/>
      <c r="AJ71" s="96">
        <v>41704.852847222224</v>
      </c>
      <c r="AK71" s="93" t="str">
        <f>HYPERLINK("https://yt3.ggpht.com/a/AATXAJwqIrzCUwKZV59RZZs9UM0OPWsxyBlp9y7oOw=s88-c-k-c0xffffffff-no-rj-mo")</f>
        <v>https://yt3.ggpht.com/a/AATXAJwqIrzCUwKZV59RZZs9UM0OPWsxyBlp9y7oOw=s88-c-k-c0xffffffff-no-rj-mo</v>
      </c>
      <c r="AL71" s="90">
        <v>0</v>
      </c>
      <c r="AM71" s="90">
        <v>0</v>
      </c>
      <c r="AN71" s="90">
        <v>1</v>
      </c>
      <c r="AO71" s="90" t="b">
        <v>0</v>
      </c>
      <c r="AP71" s="90">
        <v>0</v>
      </c>
      <c r="AQ71" s="90"/>
      <c r="AR71" s="90"/>
      <c r="AS71" s="90" t="s">
        <v>341</v>
      </c>
      <c r="AT71" s="93" t="str">
        <f>HYPERLINK("https://www.youtube.com/channel/UCPQEfl5Izzd58jGk1clvJrg")</f>
        <v>https://www.youtube.com/channel/UCPQEfl5Izzd58jGk1clvJrg</v>
      </c>
      <c r="AU71" s="89" t="str">
        <f>REPLACE(INDEX(GroupVertices[Group],MATCH(Vertices[[#This Row],[Vertex]],GroupVertices[Vertex],0)),1,1,"")</f>
        <v>4</v>
      </c>
      <c r="AV71" s="48">
        <v>4</v>
      </c>
      <c r="AW71" s="49">
        <v>4</v>
      </c>
      <c r="AX71" s="48">
        <v>4</v>
      </c>
      <c r="AY71" s="49">
        <v>4</v>
      </c>
      <c r="AZ71" s="48">
        <v>0</v>
      </c>
      <c r="BA71" s="49">
        <v>0</v>
      </c>
      <c r="BB71" s="48">
        <v>92</v>
      </c>
      <c r="BC71" s="49">
        <v>92</v>
      </c>
      <c r="BD71" s="48">
        <v>100</v>
      </c>
      <c r="BE71" s="48"/>
      <c r="BF71" s="48"/>
      <c r="BG71" s="48"/>
      <c r="BH71" s="48"/>
      <c r="BI71" s="48"/>
      <c r="BJ71" s="48"/>
      <c r="BK71" s="48" t="s">
        <v>686</v>
      </c>
      <c r="BL71" s="48" t="s">
        <v>686</v>
      </c>
      <c r="BM71" s="119" t="s">
        <v>1455</v>
      </c>
      <c r="BN71" s="119" t="s">
        <v>1506</v>
      </c>
      <c r="BO71" s="119" t="s">
        <v>1573</v>
      </c>
      <c r="BP71" s="119" t="s">
        <v>1617</v>
      </c>
      <c r="BQ71" s="2"/>
      <c r="BR71" s="3"/>
      <c r="BS71" s="3"/>
      <c r="BT71" s="3"/>
      <c r="BU71" s="3"/>
    </row>
    <row r="72" spans="1:73" ht="15">
      <c r="A72" s="66" t="s">
        <v>832</v>
      </c>
      <c r="B72" s="67"/>
      <c r="C72" s="67"/>
      <c r="D72" s="68">
        <v>200</v>
      </c>
      <c r="E72" s="124"/>
      <c r="F72" s="98" t="str">
        <f>HYPERLINK("https://yt3.ggpht.com/a/AATXAJzF4VyX6TWdhh-41dqTsnyoDXN4EHZWn-DeHw=s88-c-k-c0xffffffff-no-rj-mo")</f>
        <v>https://yt3.ggpht.com/a/AATXAJzF4VyX6TWdhh-41dqTsnyoDXN4EHZWn-DeHw=s88-c-k-c0xffffffff-no-rj-mo</v>
      </c>
      <c r="G72" s="125"/>
      <c r="H72" s="71" t="s">
        <v>1139</v>
      </c>
      <c r="I72" s="72"/>
      <c r="J72" s="126" t="s">
        <v>159</v>
      </c>
      <c r="K72" s="71" t="s">
        <v>1139</v>
      </c>
      <c r="L72" s="127">
        <v>1</v>
      </c>
      <c r="M72" s="76">
        <v>976.6549682617188</v>
      </c>
      <c r="N72" s="76">
        <v>2356.3662109375</v>
      </c>
      <c r="O72" s="77"/>
      <c r="P72" s="78"/>
      <c r="Q72" s="78"/>
      <c r="R72" s="128"/>
      <c r="S72" s="48">
        <v>0</v>
      </c>
      <c r="T72" s="48">
        <v>3</v>
      </c>
      <c r="U72" s="49">
        <v>33.411402</v>
      </c>
      <c r="V72" s="49">
        <v>0.002732</v>
      </c>
      <c r="W72" s="49">
        <v>0.007409</v>
      </c>
      <c r="X72" s="49">
        <v>0.937568</v>
      </c>
      <c r="Y72" s="49">
        <v>0</v>
      </c>
      <c r="Z72" s="49">
        <v>0</v>
      </c>
      <c r="AA72" s="73">
        <v>72</v>
      </c>
      <c r="AB72" s="73"/>
      <c r="AC72" s="74"/>
      <c r="AD72" s="90" t="s">
        <v>1139</v>
      </c>
      <c r="AE72" s="90"/>
      <c r="AF72" s="90"/>
      <c r="AG72" s="90"/>
      <c r="AH72" s="90"/>
      <c r="AI72" s="90"/>
      <c r="AJ72" s="96">
        <v>40392.69982638889</v>
      </c>
      <c r="AK72" s="93" t="str">
        <f>HYPERLINK("https://yt3.ggpht.com/a/AATXAJzF4VyX6TWdhh-41dqTsnyoDXN4EHZWn-DeHw=s88-c-k-c0xffffffff-no-rj-mo")</f>
        <v>https://yt3.ggpht.com/a/AATXAJzF4VyX6TWdhh-41dqTsnyoDXN4EHZWn-DeHw=s88-c-k-c0xffffffff-no-rj-mo</v>
      </c>
      <c r="AL72" s="90">
        <v>0</v>
      </c>
      <c r="AM72" s="90">
        <v>0</v>
      </c>
      <c r="AN72" s="90">
        <v>3</v>
      </c>
      <c r="AO72" s="90" t="b">
        <v>0</v>
      </c>
      <c r="AP72" s="90">
        <v>0</v>
      </c>
      <c r="AQ72" s="90"/>
      <c r="AR72" s="90"/>
      <c r="AS72" s="90" t="s">
        <v>341</v>
      </c>
      <c r="AT72" s="93" t="str">
        <f>HYPERLINK("https://www.youtube.com/channel/UCI4gPi01UDuazhDGJEVOwlg")</f>
        <v>https://www.youtube.com/channel/UCI4gPi01UDuazhDGJEVOwlg</v>
      </c>
      <c r="AU72" s="89" t="str">
        <f>REPLACE(INDEX(GroupVertices[Group],MATCH(Vertices[[#This Row],[Vertex]],GroupVertices[Vertex],0)),1,1,"")</f>
        <v>2</v>
      </c>
      <c r="AV72" s="48">
        <v>3</v>
      </c>
      <c r="AW72" s="49">
        <v>4.166666666666667</v>
      </c>
      <c r="AX72" s="48">
        <v>3</v>
      </c>
      <c r="AY72" s="49">
        <v>4.166666666666667</v>
      </c>
      <c r="AZ72" s="48">
        <v>0</v>
      </c>
      <c r="BA72" s="49">
        <v>0</v>
      </c>
      <c r="BB72" s="48">
        <v>66</v>
      </c>
      <c r="BC72" s="49">
        <v>91.66666666666667</v>
      </c>
      <c r="BD72" s="48">
        <v>72</v>
      </c>
      <c r="BE72" s="48"/>
      <c r="BF72" s="48"/>
      <c r="BG72" s="48"/>
      <c r="BH72" s="48"/>
      <c r="BI72" s="48"/>
      <c r="BJ72" s="48"/>
      <c r="BK72" s="48" t="s">
        <v>1349</v>
      </c>
      <c r="BL72" s="48" t="s">
        <v>1348</v>
      </c>
      <c r="BM72" s="119" t="s">
        <v>1456</v>
      </c>
      <c r="BN72" s="119" t="s">
        <v>1507</v>
      </c>
      <c r="BO72" s="119" t="s">
        <v>1574</v>
      </c>
      <c r="BP72" s="119" t="s">
        <v>1574</v>
      </c>
      <c r="BQ72" s="2"/>
      <c r="BR72" s="3"/>
      <c r="BS72" s="3"/>
      <c r="BT72" s="3"/>
      <c r="BU72" s="3"/>
    </row>
    <row r="73" spans="1:73" ht="15">
      <c r="A73" s="66" t="s">
        <v>833</v>
      </c>
      <c r="B73" s="67"/>
      <c r="C73" s="67"/>
      <c r="D73" s="68">
        <v>200</v>
      </c>
      <c r="E73" s="124"/>
      <c r="F73" s="98" t="str">
        <f>HYPERLINK("https://yt3.ggpht.com/a/AATXAJwGcEfjpfEEQjxXxGIT11wZSCLvKQ8LGuBueFmX=s88-c-k-c0xffffffff-no-rj-mo")</f>
        <v>https://yt3.ggpht.com/a/AATXAJwGcEfjpfEEQjxXxGIT11wZSCLvKQ8LGuBueFmX=s88-c-k-c0xffffffff-no-rj-mo</v>
      </c>
      <c r="G73" s="125"/>
      <c r="H73" s="71" t="s">
        <v>1140</v>
      </c>
      <c r="I73" s="72"/>
      <c r="J73" s="126" t="s">
        <v>159</v>
      </c>
      <c r="K73" s="71" t="s">
        <v>1140</v>
      </c>
      <c r="L73" s="127">
        <v>1</v>
      </c>
      <c r="M73" s="76">
        <v>5710.583984375</v>
      </c>
      <c r="N73" s="76">
        <v>4554.07080078125</v>
      </c>
      <c r="O73" s="77"/>
      <c r="P73" s="78"/>
      <c r="Q73" s="78"/>
      <c r="R73" s="128"/>
      <c r="S73" s="48">
        <v>0</v>
      </c>
      <c r="T73" s="48">
        <v>4</v>
      </c>
      <c r="U73" s="49">
        <v>38.056227</v>
      </c>
      <c r="V73" s="49">
        <v>0.002703</v>
      </c>
      <c r="W73" s="49">
        <v>0.008994</v>
      </c>
      <c r="X73" s="49">
        <v>1.238707</v>
      </c>
      <c r="Y73" s="49">
        <v>0</v>
      </c>
      <c r="Z73" s="49">
        <v>0</v>
      </c>
      <c r="AA73" s="73">
        <v>73</v>
      </c>
      <c r="AB73" s="73"/>
      <c r="AC73" s="74"/>
      <c r="AD73" s="90" t="s">
        <v>1140</v>
      </c>
      <c r="AE73" s="90"/>
      <c r="AF73" s="90"/>
      <c r="AG73" s="90"/>
      <c r="AH73" s="90"/>
      <c r="AI73" s="90"/>
      <c r="AJ73" s="96">
        <v>39003.742418981485</v>
      </c>
      <c r="AK73" s="93" t="str">
        <f>HYPERLINK("https://yt3.ggpht.com/a/AATXAJwGcEfjpfEEQjxXxGIT11wZSCLvKQ8LGuBueFmX=s88-c-k-c0xffffffff-no-rj-mo")</f>
        <v>https://yt3.ggpht.com/a/AATXAJwGcEfjpfEEQjxXxGIT11wZSCLvKQ8LGuBueFmX=s88-c-k-c0xffffffff-no-rj-mo</v>
      </c>
      <c r="AL73" s="90">
        <v>367</v>
      </c>
      <c r="AM73" s="90">
        <v>0</v>
      </c>
      <c r="AN73" s="90">
        <v>7</v>
      </c>
      <c r="AO73" s="90" t="b">
        <v>0</v>
      </c>
      <c r="AP73" s="90">
        <v>4</v>
      </c>
      <c r="AQ73" s="90"/>
      <c r="AR73" s="90"/>
      <c r="AS73" s="90" t="s">
        <v>341</v>
      </c>
      <c r="AT73" s="93" t="str">
        <f>HYPERLINK("https://www.youtube.com/channel/UCm7F1hYnkmFqIf7Ee5fx4PQ")</f>
        <v>https://www.youtube.com/channel/UCm7F1hYnkmFqIf7Ee5fx4PQ</v>
      </c>
      <c r="AU73" s="89" t="str">
        <f>REPLACE(INDEX(GroupVertices[Group],MATCH(Vertices[[#This Row],[Vertex]],GroupVertices[Vertex],0)),1,1,"")</f>
        <v>4</v>
      </c>
      <c r="AV73" s="48">
        <v>1</v>
      </c>
      <c r="AW73" s="49">
        <v>2.6315789473684212</v>
      </c>
      <c r="AX73" s="48">
        <v>1</v>
      </c>
      <c r="AY73" s="49">
        <v>2.6315789473684212</v>
      </c>
      <c r="AZ73" s="48">
        <v>0</v>
      </c>
      <c r="BA73" s="49">
        <v>0</v>
      </c>
      <c r="BB73" s="48">
        <v>36</v>
      </c>
      <c r="BC73" s="49">
        <v>94.73684210526316</v>
      </c>
      <c r="BD73" s="48">
        <v>38</v>
      </c>
      <c r="BE73" s="48"/>
      <c r="BF73" s="48"/>
      <c r="BG73" s="48"/>
      <c r="BH73" s="48"/>
      <c r="BI73" s="48"/>
      <c r="BJ73" s="48"/>
      <c r="BK73" s="48" t="s">
        <v>1348</v>
      </c>
      <c r="BL73" s="48" t="s">
        <v>1349</v>
      </c>
      <c r="BM73" s="119" t="s">
        <v>1457</v>
      </c>
      <c r="BN73" s="119" t="s">
        <v>1457</v>
      </c>
      <c r="BO73" s="119" t="s">
        <v>1575</v>
      </c>
      <c r="BP73" s="119" t="s">
        <v>1575</v>
      </c>
      <c r="BQ73" s="2"/>
      <c r="BR73" s="3"/>
      <c r="BS73" s="3"/>
      <c r="BT73" s="3"/>
      <c r="BU73" s="3"/>
    </row>
    <row r="74" spans="1:73" ht="15">
      <c r="A74" s="66" t="s">
        <v>835</v>
      </c>
      <c r="B74" s="67"/>
      <c r="C74" s="67"/>
      <c r="D74" s="68">
        <v>200</v>
      </c>
      <c r="E74" s="124"/>
      <c r="F74" s="98" t="str">
        <f>HYPERLINK("https://yt3.ggpht.com/a/AATXAJyfNa2ssgxsGn8wrk4zSnTShNnZMNEtcqq3lb4hKA=s88-c-k-c0xffffffff-no-rj-mo")</f>
        <v>https://yt3.ggpht.com/a/AATXAJyfNa2ssgxsGn8wrk4zSnTShNnZMNEtcqq3lb4hKA=s88-c-k-c0xffffffff-no-rj-mo</v>
      </c>
      <c r="G74" s="125"/>
      <c r="H74" s="71" t="s">
        <v>1142</v>
      </c>
      <c r="I74" s="72"/>
      <c r="J74" s="126" t="s">
        <v>159</v>
      </c>
      <c r="K74" s="71" t="s">
        <v>1142</v>
      </c>
      <c r="L74" s="127">
        <v>1</v>
      </c>
      <c r="M74" s="76">
        <v>4951.92724609375</v>
      </c>
      <c r="N74" s="76">
        <v>5563.13818359375</v>
      </c>
      <c r="O74" s="77"/>
      <c r="P74" s="78"/>
      <c r="Q74" s="78"/>
      <c r="R74" s="128"/>
      <c r="S74" s="48">
        <v>0</v>
      </c>
      <c r="T74" s="48">
        <v>2</v>
      </c>
      <c r="U74" s="49">
        <v>4.066667</v>
      </c>
      <c r="V74" s="49">
        <v>0.002674</v>
      </c>
      <c r="W74" s="49">
        <v>0.005682</v>
      </c>
      <c r="X74" s="49">
        <v>0.659222</v>
      </c>
      <c r="Y74" s="49">
        <v>0</v>
      </c>
      <c r="Z74" s="49">
        <v>0</v>
      </c>
      <c r="AA74" s="73">
        <v>74</v>
      </c>
      <c r="AB74" s="73"/>
      <c r="AC74" s="74"/>
      <c r="AD74" s="90" t="s">
        <v>1142</v>
      </c>
      <c r="AE74" s="90"/>
      <c r="AF74" s="90"/>
      <c r="AG74" s="90"/>
      <c r="AH74" s="90"/>
      <c r="AI74" s="90"/>
      <c r="AJ74" s="96">
        <v>42506.034837962965</v>
      </c>
      <c r="AK74" s="93" t="str">
        <f>HYPERLINK("https://yt3.ggpht.com/a/AATXAJyfNa2ssgxsGn8wrk4zSnTShNnZMNEtcqq3lb4hKA=s88-c-k-c0xffffffff-no-rj-mo")</f>
        <v>https://yt3.ggpht.com/a/AATXAJyfNa2ssgxsGn8wrk4zSnTShNnZMNEtcqq3lb4hKA=s88-c-k-c0xffffffff-no-rj-mo</v>
      </c>
      <c r="AL74" s="90">
        <v>0</v>
      </c>
      <c r="AM74" s="90">
        <v>0</v>
      </c>
      <c r="AN74" s="90">
        <v>39</v>
      </c>
      <c r="AO74" s="90" t="b">
        <v>0</v>
      </c>
      <c r="AP74" s="90">
        <v>0</v>
      </c>
      <c r="AQ74" s="90"/>
      <c r="AR74" s="90"/>
      <c r="AS74" s="90" t="s">
        <v>341</v>
      </c>
      <c r="AT74" s="93" t="str">
        <f>HYPERLINK("https://www.youtube.com/channel/UCIa6MTGkOnHzKaIHeEUTsZQ")</f>
        <v>https://www.youtube.com/channel/UCIa6MTGkOnHzKaIHeEUTsZQ</v>
      </c>
      <c r="AU74" s="89" t="str">
        <f>REPLACE(INDEX(GroupVertices[Group],MATCH(Vertices[[#This Row],[Vertex]],GroupVertices[Vertex],0)),1,1,"")</f>
        <v>4</v>
      </c>
      <c r="AV74" s="48">
        <v>0</v>
      </c>
      <c r="AW74" s="49">
        <v>0</v>
      </c>
      <c r="AX74" s="48">
        <v>1</v>
      </c>
      <c r="AY74" s="49">
        <v>4.545454545454546</v>
      </c>
      <c r="AZ74" s="48">
        <v>0</v>
      </c>
      <c r="BA74" s="49">
        <v>0</v>
      </c>
      <c r="BB74" s="48">
        <v>21</v>
      </c>
      <c r="BC74" s="49">
        <v>95.45454545454545</v>
      </c>
      <c r="BD74" s="48">
        <v>22</v>
      </c>
      <c r="BE74" s="48"/>
      <c r="BF74" s="48"/>
      <c r="BG74" s="48"/>
      <c r="BH74" s="48"/>
      <c r="BI74" s="48"/>
      <c r="BJ74" s="48"/>
      <c r="BK74" s="48" t="s">
        <v>1348</v>
      </c>
      <c r="BL74" s="48" t="s">
        <v>1348</v>
      </c>
      <c r="BM74" s="119" t="s">
        <v>1458</v>
      </c>
      <c r="BN74" s="119" t="s">
        <v>1458</v>
      </c>
      <c r="BO74" s="119" t="s">
        <v>1576</v>
      </c>
      <c r="BP74" s="119" t="s">
        <v>1576</v>
      </c>
      <c r="BQ74" s="2"/>
      <c r="BR74" s="3"/>
      <c r="BS74" s="3"/>
      <c r="BT74" s="3"/>
      <c r="BU74" s="3"/>
    </row>
    <row r="75" spans="1:73" ht="15">
      <c r="A75" s="66" t="s">
        <v>836</v>
      </c>
      <c r="B75" s="67"/>
      <c r="C75" s="67"/>
      <c r="D75" s="68">
        <v>200</v>
      </c>
      <c r="E75" s="124"/>
      <c r="F75" s="98" t="str">
        <f>HYPERLINK("https://yt3.ggpht.com/a/AATXAJz2R5Dq4ocoCVM6BX9FirVjktk48CmiGR98b5BLqQ=s88-c-k-c0xffffffff-no-rj-mo")</f>
        <v>https://yt3.ggpht.com/a/AATXAJz2R5Dq4ocoCVM6BX9FirVjktk48CmiGR98b5BLqQ=s88-c-k-c0xffffffff-no-rj-mo</v>
      </c>
      <c r="G75" s="125"/>
      <c r="H75" s="71" t="s">
        <v>1143</v>
      </c>
      <c r="I75" s="72"/>
      <c r="J75" s="126" t="s">
        <v>159</v>
      </c>
      <c r="K75" s="71" t="s">
        <v>1143</v>
      </c>
      <c r="L75" s="127">
        <v>1</v>
      </c>
      <c r="M75" s="76">
        <v>3878.65380859375</v>
      </c>
      <c r="N75" s="76">
        <v>7740</v>
      </c>
      <c r="O75" s="77"/>
      <c r="P75" s="78"/>
      <c r="Q75" s="78"/>
      <c r="R75" s="128"/>
      <c r="S75" s="48">
        <v>0</v>
      </c>
      <c r="T75" s="48">
        <v>1</v>
      </c>
      <c r="U75" s="49">
        <v>0</v>
      </c>
      <c r="V75" s="49">
        <v>0.002538</v>
      </c>
      <c r="W75" s="49">
        <v>0.001633</v>
      </c>
      <c r="X75" s="49">
        <v>0.500973</v>
      </c>
      <c r="Y75" s="49">
        <v>0</v>
      </c>
      <c r="Z75" s="49">
        <v>0</v>
      </c>
      <c r="AA75" s="73">
        <v>75</v>
      </c>
      <c r="AB75" s="73"/>
      <c r="AC75" s="74"/>
      <c r="AD75" s="90" t="s">
        <v>1143</v>
      </c>
      <c r="AE75" s="90"/>
      <c r="AF75" s="90"/>
      <c r="AG75" s="90"/>
      <c r="AH75" s="90"/>
      <c r="AI75" s="90"/>
      <c r="AJ75" s="96">
        <v>41574.186793981484</v>
      </c>
      <c r="AK75" s="93" t="str">
        <f>HYPERLINK("https://yt3.ggpht.com/a/AATXAJz2R5Dq4ocoCVM6BX9FirVjktk48CmiGR98b5BLqQ=s88-c-k-c0xffffffff-no-rj-mo")</f>
        <v>https://yt3.ggpht.com/a/AATXAJz2R5Dq4ocoCVM6BX9FirVjktk48CmiGR98b5BLqQ=s88-c-k-c0xffffffff-no-rj-mo</v>
      </c>
      <c r="AL75" s="90">
        <v>0</v>
      </c>
      <c r="AM75" s="90">
        <v>0</v>
      </c>
      <c r="AN75" s="90">
        <v>19</v>
      </c>
      <c r="AO75" s="90" t="b">
        <v>0</v>
      </c>
      <c r="AP75" s="90">
        <v>0</v>
      </c>
      <c r="AQ75" s="90"/>
      <c r="AR75" s="90"/>
      <c r="AS75" s="90" t="s">
        <v>341</v>
      </c>
      <c r="AT75" s="93" t="str">
        <f>HYPERLINK("https://www.youtube.com/channel/UCh3sDKgt1TqH1VuAh-4u04Q")</f>
        <v>https://www.youtube.com/channel/UCh3sDKgt1TqH1VuAh-4u04Q</v>
      </c>
      <c r="AU75" s="89" t="str">
        <f>REPLACE(INDEX(GroupVertices[Group],MATCH(Vertices[[#This Row],[Vertex]],GroupVertices[Vertex],0)),1,1,"")</f>
        <v>1</v>
      </c>
      <c r="AV75" s="48">
        <v>0</v>
      </c>
      <c r="AW75" s="49">
        <v>0</v>
      </c>
      <c r="AX75" s="48">
        <v>1</v>
      </c>
      <c r="AY75" s="49">
        <v>5.882352941176471</v>
      </c>
      <c r="AZ75" s="48">
        <v>0</v>
      </c>
      <c r="BA75" s="49">
        <v>0</v>
      </c>
      <c r="BB75" s="48">
        <v>16</v>
      </c>
      <c r="BC75" s="49">
        <v>94.11764705882354</v>
      </c>
      <c r="BD75" s="48">
        <v>17</v>
      </c>
      <c r="BE75" s="48"/>
      <c r="BF75" s="48"/>
      <c r="BG75" s="48"/>
      <c r="BH75" s="48"/>
      <c r="BI75" s="48"/>
      <c r="BJ75" s="48"/>
      <c r="BK75" s="48" t="s">
        <v>1347</v>
      </c>
      <c r="BL75" s="48" t="s">
        <v>1347</v>
      </c>
      <c r="BM75" s="119" t="s">
        <v>1459</v>
      </c>
      <c r="BN75" s="119" t="s">
        <v>1459</v>
      </c>
      <c r="BO75" s="119" t="s">
        <v>1577</v>
      </c>
      <c r="BP75" s="119" t="s">
        <v>1577</v>
      </c>
      <c r="BQ75" s="2"/>
      <c r="BR75" s="3"/>
      <c r="BS75" s="3"/>
      <c r="BT75" s="3"/>
      <c r="BU75" s="3"/>
    </row>
    <row r="76" spans="1:73" ht="15">
      <c r="A76" s="66" t="s">
        <v>837</v>
      </c>
      <c r="B76" s="67"/>
      <c r="C76" s="67"/>
      <c r="D76" s="68">
        <v>360</v>
      </c>
      <c r="E76" s="124"/>
      <c r="F76" s="98" t="str">
        <f>HYPERLINK("https://yt3.ggpht.com/a/AATXAJy4VniT5xEejUSqQulI1iTb9xoHhEERYOmeyAXU=s88-c-k-c0xffffffff-no-rj-mo")</f>
        <v>https://yt3.ggpht.com/a/AATXAJy4VniT5xEejUSqQulI1iTb9xoHhEERYOmeyAXU=s88-c-k-c0xffffffff-no-rj-mo</v>
      </c>
      <c r="G76" s="125"/>
      <c r="H76" s="71" t="s">
        <v>1144</v>
      </c>
      <c r="I76" s="72"/>
      <c r="J76" s="126" t="s">
        <v>75</v>
      </c>
      <c r="K76" s="71" t="s">
        <v>1144</v>
      </c>
      <c r="L76" s="127">
        <v>239.04761904761904</v>
      </c>
      <c r="M76" s="76">
        <v>2937.40576171875</v>
      </c>
      <c r="N76" s="76">
        <v>6993.44873046875</v>
      </c>
      <c r="O76" s="77"/>
      <c r="P76" s="78"/>
      <c r="Q76" s="78"/>
      <c r="R76" s="128"/>
      <c r="S76" s="48">
        <v>1</v>
      </c>
      <c r="T76" s="48">
        <v>1</v>
      </c>
      <c r="U76" s="49">
        <v>218</v>
      </c>
      <c r="V76" s="49">
        <v>0.003509</v>
      </c>
      <c r="W76" s="49">
        <v>0.012221</v>
      </c>
      <c r="X76" s="49">
        <v>0.825821</v>
      </c>
      <c r="Y76" s="49">
        <v>0</v>
      </c>
      <c r="Z76" s="49">
        <v>0</v>
      </c>
      <c r="AA76" s="73">
        <v>76</v>
      </c>
      <c r="AB76" s="73"/>
      <c r="AC76" s="74"/>
      <c r="AD76" s="90" t="s">
        <v>1144</v>
      </c>
      <c r="AE76" s="90"/>
      <c r="AF76" s="90"/>
      <c r="AG76" s="90"/>
      <c r="AH76" s="90"/>
      <c r="AI76" s="90"/>
      <c r="AJ76" s="96">
        <v>39239.70679398148</v>
      </c>
      <c r="AK76" s="93" t="str">
        <f>HYPERLINK("https://yt3.ggpht.com/a/AATXAJy4VniT5xEejUSqQulI1iTb9xoHhEERYOmeyAXU=s88-c-k-c0xffffffff-no-rj-mo")</f>
        <v>https://yt3.ggpht.com/a/AATXAJy4VniT5xEejUSqQulI1iTb9xoHhEERYOmeyAXU=s88-c-k-c0xffffffff-no-rj-mo</v>
      </c>
      <c r="AL76" s="90">
        <v>0</v>
      </c>
      <c r="AM76" s="90">
        <v>0</v>
      </c>
      <c r="AN76" s="90">
        <v>8</v>
      </c>
      <c r="AO76" s="90" t="b">
        <v>0</v>
      </c>
      <c r="AP76" s="90">
        <v>0</v>
      </c>
      <c r="AQ76" s="90"/>
      <c r="AR76" s="90"/>
      <c r="AS76" s="90" t="s">
        <v>341</v>
      </c>
      <c r="AT76" s="93" t="str">
        <f>HYPERLINK("https://www.youtube.com/channel/UCPs5ReaHmB8LvhgKnIznIpg")</f>
        <v>https://www.youtube.com/channel/UCPs5ReaHmB8LvhgKnIznIpg</v>
      </c>
      <c r="AU76" s="89" t="str">
        <f>REPLACE(INDEX(GroupVertices[Group],MATCH(Vertices[[#This Row],[Vertex]],GroupVertices[Vertex],0)),1,1,"")</f>
        <v>1</v>
      </c>
      <c r="AV76" s="48">
        <v>0</v>
      </c>
      <c r="AW76" s="49">
        <v>0</v>
      </c>
      <c r="AX76" s="48">
        <v>1</v>
      </c>
      <c r="AY76" s="49">
        <v>2.4390243902439024</v>
      </c>
      <c r="AZ76" s="48">
        <v>0</v>
      </c>
      <c r="BA76" s="49">
        <v>0</v>
      </c>
      <c r="BB76" s="48">
        <v>40</v>
      </c>
      <c r="BC76" s="49">
        <v>97.5609756097561</v>
      </c>
      <c r="BD76" s="48">
        <v>41</v>
      </c>
      <c r="BE76" s="48"/>
      <c r="BF76" s="48"/>
      <c r="BG76" s="48"/>
      <c r="BH76" s="48"/>
      <c r="BI76" s="48"/>
      <c r="BJ76" s="48"/>
      <c r="BK76" s="48" t="s">
        <v>1347</v>
      </c>
      <c r="BL76" s="48" t="s">
        <v>1347</v>
      </c>
      <c r="BM76" s="119" t="s">
        <v>1460</v>
      </c>
      <c r="BN76" s="119" t="s">
        <v>1460</v>
      </c>
      <c r="BO76" s="119" t="s">
        <v>1578</v>
      </c>
      <c r="BP76" s="119" t="s">
        <v>1578</v>
      </c>
      <c r="BQ76" s="2"/>
      <c r="BR76" s="3"/>
      <c r="BS76" s="3"/>
      <c r="BT76" s="3"/>
      <c r="BU76" s="3"/>
    </row>
    <row r="77" spans="1:73" ht="15">
      <c r="A77" s="66" t="s">
        <v>839</v>
      </c>
      <c r="B77" s="67"/>
      <c r="C77" s="67"/>
      <c r="D77" s="68">
        <v>1000</v>
      </c>
      <c r="E77" s="124"/>
      <c r="F77" s="98" t="str">
        <f>HYPERLINK("https://yt3.ggpht.com/a/AATXAJwMKTHfOVMJkTi7eiA6SwcQpv3ZmJhn73PA1J-a=s88-c-k-c0xffffffff-no-rj-mo")</f>
        <v>https://yt3.ggpht.com/a/AATXAJwMKTHfOVMJkTi7eiA6SwcQpv3ZmJhn73PA1J-a=s88-c-k-c0xffffffff-no-rj-mo</v>
      </c>
      <c r="G77" s="125"/>
      <c r="H77" s="71" t="s">
        <v>1146</v>
      </c>
      <c r="I77" s="72"/>
      <c r="J77" s="126" t="s">
        <v>75</v>
      </c>
      <c r="K77" s="71" t="s">
        <v>1146</v>
      </c>
      <c r="L77" s="127">
        <v>1191.2380952380952</v>
      </c>
      <c r="M77" s="76">
        <v>8085.45263671875</v>
      </c>
      <c r="N77" s="76">
        <v>4607.87109375</v>
      </c>
      <c r="O77" s="77"/>
      <c r="P77" s="78"/>
      <c r="Q77" s="78"/>
      <c r="R77" s="128"/>
      <c r="S77" s="48">
        <v>5</v>
      </c>
      <c r="T77" s="48">
        <v>2</v>
      </c>
      <c r="U77" s="49">
        <v>350.353709</v>
      </c>
      <c r="V77" s="49">
        <v>0.003584</v>
      </c>
      <c r="W77" s="49">
        <v>0.022698</v>
      </c>
      <c r="X77" s="49">
        <v>1.835476</v>
      </c>
      <c r="Y77" s="49">
        <v>0.05</v>
      </c>
      <c r="Z77" s="49">
        <v>0</v>
      </c>
      <c r="AA77" s="73">
        <v>77</v>
      </c>
      <c r="AB77" s="73"/>
      <c r="AC77" s="74"/>
      <c r="AD77" s="90" t="s">
        <v>1146</v>
      </c>
      <c r="AE77" s="90"/>
      <c r="AF77" s="90"/>
      <c r="AG77" s="90"/>
      <c r="AH77" s="90"/>
      <c r="AI77" s="90"/>
      <c r="AJ77" s="96">
        <v>41517.16149305556</v>
      </c>
      <c r="AK77" s="93" t="str">
        <f>HYPERLINK("https://yt3.ggpht.com/a/AATXAJwMKTHfOVMJkTi7eiA6SwcQpv3ZmJhn73PA1J-a=s88-c-k-c0xffffffff-no-rj-mo")</f>
        <v>https://yt3.ggpht.com/a/AATXAJwMKTHfOVMJkTi7eiA6SwcQpv3ZmJhn73PA1J-a=s88-c-k-c0xffffffff-no-rj-mo</v>
      </c>
      <c r="AL77" s="90">
        <v>0</v>
      </c>
      <c r="AM77" s="90">
        <v>0</v>
      </c>
      <c r="AN77" s="90">
        <v>0</v>
      </c>
      <c r="AO77" s="90" t="b">
        <v>0</v>
      </c>
      <c r="AP77" s="90">
        <v>0</v>
      </c>
      <c r="AQ77" s="90"/>
      <c r="AR77" s="90"/>
      <c r="AS77" s="90" t="s">
        <v>341</v>
      </c>
      <c r="AT77" s="93" t="str">
        <f>HYPERLINK("https://www.youtube.com/channel/UCt3qJ-f4f2XV0_8p7P0KSfA")</f>
        <v>https://www.youtube.com/channel/UCt3qJ-f4f2XV0_8p7P0KSfA</v>
      </c>
      <c r="AU77" s="89" t="str">
        <f>REPLACE(INDEX(GroupVertices[Group],MATCH(Vertices[[#This Row],[Vertex]],GroupVertices[Vertex],0)),1,1,"")</f>
        <v>6</v>
      </c>
      <c r="AV77" s="48">
        <v>1</v>
      </c>
      <c r="AW77" s="49">
        <v>1.2820512820512822</v>
      </c>
      <c r="AX77" s="48">
        <v>4</v>
      </c>
      <c r="AY77" s="49">
        <v>5.128205128205129</v>
      </c>
      <c r="AZ77" s="48">
        <v>0</v>
      </c>
      <c r="BA77" s="49">
        <v>0</v>
      </c>
      <c r="BB77" s="48">
        <v>73</v>
      </c>
      <c r="BC77" s="49">
        <v>93.58974358974359</v>
      </c>
      <c r="BD77" s="48">
        <v>78</v>
      </c>
      <c r="BE77" s="48"/>
      <c r="BF77" s="48"/>
      <c r="BG77" s="48"/>
      <c r="BH77" s="48"/>
      <c r="BI77" s="48"/>
      <c r="BJ77" s="48"/>
      <c r="BK77" s="48" t="s">
        <v>1348</v>
      </c>
      <c r="BL77" s="48" t="s">
        <v>1348</v>
      </c>
      <c r="BM77" s="119" t="s">
        <v>1461</v>
      </c>
      <c r="BN77" s="119" t="s">
        <v>1508</v>
      </c>
      <c r="BO77" s="119" t="s">
        <v>1579</v>
      </c>
      <c r="BP77" s="119" t="s">
        <v>1579</v>
      </c>
      <c r="BQ77" s="2"/>
      <c r="BR77" s="3"/>
      <c r="BS77" s="3"/>
      <c r="BT77" s="3"/>
      <c r="BU77" s="3"/>
    </row>
    <row r="78" spans="1:73" ht="15">
      <c r="A78" s="66" t="s">
        <v>838</v>
      </c>
      <c r="B78" s="67"/>
      <c r="C78" s="67"/>
      <c r="D78" s="68">
        <v>200</v>
      </c>
      <c r="E78" s="124"/>
      <c r="F78" s="98" t="str">
        <f>HYPERLINK("https://yt3.ggpht.com/a/AATXAJx3kndanoxqzXqQudYaoZlLvNuCqR05nTMIAA=s88-c-k-c0xffffffff-no-rj-mo")</f>
        <v>https://yt3.ggpht.com/a/AATXAJx3kndanoxqzXqQudYaoZlLvNuCqR05nTMIAA=s88-c-k-c0xffffffff-no-rj-mo</v>
      </c>
      <c r="G78" s="125"/>
      <c r="H78" s="71" t="s">
        <v>1145</v>
      </c>
      <c r="I78" s="72"/>
      <c r="J78" s="126" t="s">
        <v>159</v>
      </c>
      <c r="K78" s="71" t="s">
        <v>1145</v>
      </c>
      <c r="L78" s="127">
        <v>1</v>
      </c>
      <c r="M78" s="76">
        <v>7918.48828125</v>
      </c>
      <c r="N78" s="76">
        <v>3597.906005859375</v>
      </c>
      <c r="O78" s="77"/>
      <c r="P78" s="78"/>
      <c r="Q78" s="78"/>
      <c r="R78" s="128"/>
      <c r="S78" s="48">
        <v>0</v>
      </c>
      <c r="T78" s="48">
        <v>1</v>
      </c>
      <c r="U78" s="49">
        <v>0</v>
      </c>
      <c r="V78" s="49">
        <v>0.002577</v>
      </c>
      <c r="W78" s="49">
        <v>0.003033</v>
      </c>
      <c r="X78" s="49">
        <v>0.410026</v>
      </c>
      <c r="Y78" s="49">
        <v>0</v>
      </c>
      <c r="Z78" s="49">
        <v>0</v>
      </c>
      <c r="AA78" s="73">
        <v>78</v>
      </c>
      <c r="AB78" s="73"/>
      <c r="AC78" s="74"/>
      <c r="AD78" s="90" t="s">
        <v>1145</v>
      </c>
      <c r="AE78" s="90"/>
      <c r="AF78" s="90"/>
      <c r="AG78" s="90"/>
      <c r="AH78" s="90"/>
      <c r="AI78" s="90"/>
      <c r="AJ78" s="96">
        <v>40838.660092592596</v>
      </c>
      <c r="AK78" s="93" t="str">
        <f>HYPERLINK("https://yt3.ggpht.com/a/AATXAJx3kndanoxqzXqQudYaoZlLvNuCqR05nTMIAA=s88-c-k-c0xffffffff-no-rj-mo")</f>
        <v>https://yt3.ggpht.com/a/AATXAJx3kndanoxqzXqQudYaoZlLvNuCqR05nTMIAA=s88-c-k-c0xffffffff-no-rj-mo</v>
      </c>
      <c r="AL78" s="90">
        <v>0</v>
      </c>
      <c r="AM78" s="90">
        <v>0</v>
      </c>
      <c r="AN78" s="90">
        <v>2</v>
      </c>
      <c r="AO78" s="90" t="b">
        <v>0</v>
      </c>
      <c r="AP78" s="90">
        <v>0</v>
      </c>
      <c r="AQ78" s="90"/>
      <c r="AR78" s="90"/>
      <c r="AS78" s="90" t="s">
        <v>341</v>
      </c>
      <c r="AT78" s="93" t="str">
        <f>HYPERLINK("https://www.youtube.com/channel/UCZZSzZTvNoIpziLJhr4_2Hg")</f>
        <v>https://www.youtube.com/channel/UCZZSzZTvNoIpziLJhr4_2Hg</v>
      </c>
      <c r="AU78" s="89" t="str">
        <f>REPLACE(INDEX(GroupVertices[Group],MATCH(Vertices[[#This Row],[Vertex]],GroupVertices[Vertex],0)),1,1,"")</f>
        <v>6</v>
      </c>
      <c r="AV78" s="48">
        <v>0</v>
      </c>
      <c r="AW78" s="49">
        <v>0</v>
      </c>
      <c r="AX78" s="48">
        <v>0</v>
      </c>
      <c r="AY78" s="49">
        <v>0</v>
      </c>
      <c r="AZ78" s="48">
        <v>0</v>
      </c>
      <c r="BA78" s="49">
        <v>0</v>
      </c>
      <c r="BB78" s="48">
        <v>22</v>
      </c>
      <c r="BC78" s="49">
        <v>100</v>
      </c>
      <c r="BD78" s="48">
        <v>22</v>
      </c>
      <c r="BE78" s="48"/>
      <c r="BF78" s="48"/>
      <c r="BG78" s="48"/>
      <c r="BH78" s="48"/>
      <c r="BI78" s="48"/>
      <c r="BJ78" s="48"/>
      <c r="BK78" s="48" t="s">
        <v>686</v>
      </c>
      <c r="BL78" s="48" t="s">
        <v>686</v>
      </c>
      <c r="BM78" s="119" t="s">
        <v>1462</v>
      </c>
      <c r="BN78" s="119" t="s">
        <v>1462</v>
      </c>
      <c r="BO78" s="119" t="s">
        <v>1580</v>
      </c>
      <c r="BP78" s="119" t="s">
        <v>1580</v>
      </c>
      <c r="BQ78" s="2"/>
      <c r="BR78" s="3"/>
      <c r="BS78" s="3"/>
      <c r="BT78" s="3"/>
      <c r="BU78" s="3"/>
    </row>
    <row r="79" spans="1:73" ht="15">
      <c r="A79" s="66" t="s">
        <v>840</v>
      </c>
      <c r="B79" s="67"/>
      <c r="C79" s="67"/>
      <c r="D79" s="68">
        <v>200</v>
      </c>
      <c r="E79" s="124"/>
      <c r="F79" s="98" t="str">
        <f>HYPERLINK("https://yt3.ggpht.com/a/AATXAJxQH1Sj8M5et47xqSqguy2iDX7R_6LMf66D1A=s88-c-k-c0xffffffff-no-rj-mo")</f>
        <v>https://yt3.ggpht.com/a/AATXAJxQH1Sj8M5et47xqSqguy2iDX7R_6LMf66D1A=s88-c-k-c0xffffffff-no-rj-mo</v>
      </c>
      <c r="G79" s="125"/>
      <c r="H79" s="71" t="s">
        <v>1147</v>
      </c>
      <c r="I79" s="72"/>
      <c r="J79" s="126" t="s">
        <v>159</v>
      </c>
      <c r="K79" s="71" t="s">
        <v>1147</v>
      </c>
      <c r="L79" s="127">
        <v>1</v>
      </c>
      <c r="M79" s="76">
        <v>5259.70947265625</v>
      </c>
      <c r="N79" s="76">
        <v>3149.973876953125</v>
      </c>
      <c r="O79" s="77"/>
      <c r="P79" s="78"/>
      <c r="Q79" s="78"/>
      <c r="R79" s="128"/>
      <c r="S79" s="48">
        <v>0</v>
      </c>
      <c r="T79" s="48">
        <v>1</v>
      </c>
      <c r="U79" s="49">
        <v>0</v>
      </c>
      <c r="V79" s="49">
        <v>0.002551</v>
      </c>
      <c r="W79" s="49">
        <v>0.001797</v>
      </c>
      <c r="X79" s="49">
        <v>0.445108</v>
      </c>
      <c r="Y79" s="49">
        <v>0</v>
      </c>
      <c r="Z79" s="49">
        <v>0</v>
      </c>
      <c r="AA79" s="73">
        <v>79</v>
      </c>
      <c r="AB79" s="73"/>
      <c r="AC79" s="74"/>
      <c r="AD79" s="90" t="s">
        <v>1147</v>
      </c>
      <c r="AE79" s="90"/>
      <c r="AF79" s="90"/>
      <c r="AG79" s="90"/>
      <c r="AH79" s="90"/>
      <c r="AI79" s="90"/>
      <c r="AJ79" s="96">
        <v>42307.152233796296</v>
      </c>
      <c r="AK79" s="93" t="str">
        <f>HYPERLINK("https://yt3.ggpht.com/a/AATXAJxQH1Sj8M5et47xqSqguy2iDX7R_6LMf66D1A=s88-c-k-c0xffffffff-no-rj-mo")</f>
        <v>https://yt3.ggpht.com/a/AATXAJxQH1Sj8M5et47xqSqguy2iDX7R_6LMf66D1A=s88-c-k-c0xffffffff-no-rj-mo</v>
      </c>
      <c r="AL79" s="90">
        <v>0</v>
      </c>
      <c r="AM79" s="90">
        <v>0</v>
      </c>
      <c r="AN79" s="90">
        <v>0</v>
      </c>
      <c r="AO79" s="90" t="b">
        <v>0</v>
      </c>
      <c r="AP79" s="90">
        <v>0</v>
      </c>
      <c r="AQ79" s="90"/>
      <c r="AR79" s="90"/>
      <c r="AS79" s="90" t="s">
        <v>341</v>
      </c>
      <c r="AT79" s="93" t="str">
        <f>HYPERLINK("https://www.youtube.com/channel/UCQoKr6vwTGfnxZA4iU_GO2A")</f>
        <v>https://www.youtube.com/channel/UCQoKr6vwTGfnxZA4iU_GO2A</v>
      </c>
      <c r="AU79" s="89" t="str">
        <f>REPLACE(INDEX(GroupVertices[Group],MATCH(Vertices[[#This Row],[Vertex]],GroupVertices[Vertex],0)),1,1,"")</f>
        <v>4</v>
      </c>
      <c r="AV79" s="48">
        <v>0</v>
      </c>
      <c r="AW79" s="49">
        <v>0</v>
      </c>
      <c r="AX79" s="48">
        <v>2</v>
      </c>
      <c r="AY79" s="49">
        <v>13.333333333333334</v>
      </c>
      <c r="AZ79" s="48">
        <v>0</v>
      </c>
      <c r="BA79" s="49">
        <v>0</v>
      </c>
      <c r="BB79" s="48">
        <v>13</v>
      </c>
      <c r="BC79" s="49">
        <v>86.66666666666667</v>
      </c>
      <c r="BD79" s="48">
        <v>15</v>
      </c>
      <c r="BE79" s="48"/>
      <c r="BF79" s="48"/>
      <c r="BG79" s="48"/>
      <c r="BH79" s="48"/>
      <c r="BI79" s="48"/>
      <c r="BJ79" s="48"/>
      <c r="BK79" s="48" t="s">
        <v>1347</v>
      </c>
      <c r="BL79" s="48" t="s">
        <v>1347</v>
      </c>
      <c r="BM79" s="119" t="s">
        <v>1463</v>
      </c>
      <c r="BN79" s="119" t="s">
        <v>1463</v>
      </c>
      <c r="BO79" s="119" t="s">
        <v>1581</v>
      </c>
      <c r="BP79" s="119" t="s">
        <v>1581</v>
      </c>
      <c r="BQ79" s="2"/>
      <c r="BR79" s="3"/>
      <c r="BS79" s="3"/>
      <c r="BT79" s="3"/>
      <c r="BU79" s="3"/>
    </row>
    <row r="80" spans="1:73" ht="15">
      <c r="A80" s="66" t="s">
        <v>841</v>
      </c>
      <c r="B80" s="67"/>
      <c r="C80" s="67"/>
      <c r="D80" s="68">
        <v>520</v>
      </c>
      <c r="E80" s="124"/>
      <c r="F80" s="98" t="str">
        <f>HYPERLINK("https://yt3.ggpht.com/a/AATXAJy492aqOdJhuQjZhrm3rIZ60JvGB33wDQDtUWv_pQ=s88-c-k-c0xffffffff-no-rj-mo")</f>
        <v>https://yt3.ggpht.com/a/AATXAJy492aqOdJhuQjZhrm3rIZ60JvGB33wDQDtUWv_pQ=s88-c-k-c0xffffffff-no-rj-mo</v>
      </c>
      <c r="G80" s="125"/>
      <c r="H80" s="71" t="s">
        <v>1148</v>
      </c>
      <c r="I80" s="72"/>
      <c r="J80" s="126" t="s">
        <v>75</v>
      </c>
      <c r="K80" s="71" t="s">
        <v>1148</v>
      </c>
      <c r="L80" s="127">
        <v>477.0952380952381</v>
      </c>
      <c r="M80" s="76">
        <v>5445.37353515625</v>
      </c>
      <c r="N80" s="76">
        <v>3848.964599609375</v>
      </c>
      <c r="O80" s="77"/>
      <c r="P80" s="78"/>
      <c r="Q80" s="78"/>
      <c r="R80" s="128"/>
      <c r="S80" s="48">
        <v>2</v>
      </c>
      <c r="T80" s="48">
        <v>1</v>
      </c>
      <c r="U80" s="49">
        <v>261.102953</v>
      </c>
      <c r="V80" s="49">
        <v>0.003534</v>
      </c>
      <c r="W80" s="49">
        <v>0.013444</v>
      </c>
      <c r="X80" s="49">
        <v>1.04156</v>
      </c>
      <c r="Y80" s="49">
        <v>0</v>
      </c>
      <c r="Z80" s="49">
        <v>0</v>
      </c>
      <c r="AA80" s="73">
        <v>80</v>
      </c>
      <c r="AB80" s="73"/>
      <c r="AC80" s="74"/>
      <c r="AD80" s="90" t="s">
        <v>1148</v>
      </c>
      <c r="AE80" s="90"/>
      <c r="AF80" s="90"/>
      <c r="AG80" s="90"/>
      <c r="AH80" s="90"/>
      <c r="AI80" s="90"/>
      <c r="AJ80" s="96">
        <v>38916.634780092594</v>
      </c>
      <c r="AK80" s="93" t="str">
        <f>HYPERLINK("https://yt3.ggpht.com/a/AATXAJy492aqOdJhuQjZhrm3rIZ60JvGB33wDQDtUWv_pQ=s88-c-k-c0xffffffff-no-rj-mo")</f>
        <v>https://yt3.ggpht.com/a/AATXAJy492aqOdJhuQjZhrm3rIZ60JvGB33wDQDtUWv_pQ=s88-c-k-c0xffffffff-no-rj-mo</v>
      </c>
      <c r="AL80" s="90">
        <v>281</v>
      </c>
      <c r="AM80" s="90">
        <v>0</v>
      </c>
      <c r="AN80" s="90">
        <v>2</v>
      </c>
      <c r="AO80" s="90" t="b">
        <v>0</v>
      </c>
      <c r="AP80" s="90">
        <v>13</v>
      </c>
      <c r="AQ80" s="90"/>
      <c r="AR80" s="90"/>
      <c r="AS80" s="90" t="s">
        <v>341</v>
      </c>
      <c r="AT80" s="93" t="str">
        <f>HYPERLINK("https://www.youtube.com/channel/UC5wyOSu26n9JKzkBfPFxrMQ")</f>
        <v>https://www.youtube.com/channel/UC5wyOSu26n9JKzkBfPFxrMQ</v>
      </c>
      <c r="AU80" s="89" t="str">
        <f>REPLACE(INDEX(GroupVertices[Group],MATCH(Vertices[[#This Row],[Vertex]],GroupVertices[Vertex],0)),1,1,"")</f>
        <v>4</v>
      </c>
      <c r="AV80" s="48">
        <v>1</v>
      </c>
      <c r="AW80" s="49">
        <v>7.142857142857143</v>
      </c>
      <c r="AX80" s="48">
        <v>0</v>
      </c>
      <c r="AY80" s="49">
        <v>0</v>
      </c>
      <c r="AZ80" s="48">
        <v>0</v>
      </c>
      <c r="BA80" s="49">
        <v>0</v>
      </c>
      <c r="BB80" s="48">
        <v>13</v>
      </c>
      <c r="BC80" s="49">
        <v>92.85714285714286</v>
      </c>
      <c r="BD80" s="48">
        <v>14</v>
      </c>
      <c r="BE80" s="48"/>
      <c r="BF80" s="48"/>
      <c r="BG80" s="48"/>
      <c r="BH80" s="48"/>
      <c r="BI80" s="48"/>
      <c r="BJ80" s="48"/>
      <c r="BK80" s="48" t="s">
        <v>1347</v>
      </c>
      <c r="BL80" s="48" t="s">
        <v>1347</v>
      </c>
      <c r="BM80" s="119" t="s">
        <v>1464</v>
      </c>
      <c r="BN80" s="119" t="s">
        <v>1464</v>
      </c>
      <c r="BO80" s="119" t="s">
        <v>1582</v>
      </c>
      <c r="BP80" s="119" t="s">
        <v>1582</v>
      </c>
      <c r="BQ80" s="2"/>
      <c r="BR80" s="3"/>
      <c r="BS80" s="3"/>
      <c r="BT80" s="3"/>
      <c r="BU80" s="3"/>
    </row>
    <row r="81" spans="1:73" ht="15">
      <c r="A81" s="66" t="s">
        <v>842</v>
      </c>
      <c r="B81" s="67"/>
      <c r="C81" s="67"/>
      <c r="D81" s="68">
        <v>360</v>
      </c>
      <c r="E81" s="124"/>
      <c r="F81" s="98" t="str">
        <f>HYPERLINK("https://yt3.ggpht.com/a/AATXAJx0822-o052f4xlPg8zTAw-HEP0RRm1YNJO9dQs=s88-c-k-c0xffffffff-no-rj-mo")</f>
        <v>https://yt3.ggpht.com/a/AATXAJx0822-o052f4xlPg8zTAw-HEP0RRm1YNJO9dQs=s88-c-k-c0xffffffff-no-rj-mo</v>
      </c>
      <c r="G81" s="125"/>
      <c r="H81" s="71" t="s">
        <v>1149</v>
      </c>
      <c r="I81" s="72"/>
      <c r="J81" s="126" t="s">
        <v>75</v>
      </c>
      <c r="K81" s="71" t="s">
        <v>1149</v>
      </c>
      <c r="L81" s="127">
        <v>239.04761904761904</v>
      </c>
      <c r="M81" s="76">
        <v>6524.74462890625</v>
      </c>
      <c r="N81" s="76">
        <v>9108.14453125</v>
      </c>
      <c r="O81" s="77"/>
      <c r="P81" s="78"/>
      <c r="Q81" s="78"/>
      <c r="R81" s="128"/>
      <c r="S81" s="48">
        <v>1</v>
      </c>
      <c r="T81" s="48">
        <v>1</v>
      </c>
      <c r="U81" s="49">
        <v>10.689784</v>
      </c>
      <c r="V81" s="49">
        <v>0.003509</v>
      </c>
      <c r="W81" s="49">
        <v>0.015657</v>
      </c>
      <c r="X81" s="49">
        <v>0.65553</v>
      </c>
      <c r="Y81" s="49">
        <v>0</v>
      </c>
      <c r="Z81" s="49">
        <v>0</v>
      </c>
      <c r="AA81" s="73">
        <v>81</v>
      </c>
      <c r="AB81" s="73"/>
      <c r="AC81" s="74"/>
      <c r="AD81" s="90" t="s">
        <v>1149</v>
      </c>
      <c r="AE81" s="90"/>
      <c r="AF81" s="90"/>
      <c r="AG81" s="90"/>
      <c r="AH81" s="90"/>
      <c r="AI81" s="90"/>
      <c r="AJ81" s="96">
        <v>40966.77537037037</v>
      </c>
      <c r="AK81" s="93" t="str">
        <f>HYPERLINK("https://yt3.ggpht.com/a/AATXAJx0822-o052f4xlPg8zTAw-HEP0RRm1YNJO9dQs=s88-c-k-c0xffffffff-no-rj-mo")</f>
        <v>https://yt3.ggpht.com/a/AATXAJx0822-o052f4xlPg8zTAw-HEP0RRm1YNJO9dQs=s88-c-k-c0xffffffff-no-rj-mo</v>
      </c>
      <c r="AL81" s="90">
        <v>0</v>
      </c>
      <c r="AM81" s="90">
        <v>0</v>
      </c>
      <c r="AN81" s="90">
        <v>0</v>
      </c>
      <c r="AO81" s="90" t="b">
        <v>0</v>
      </c>
      <c r="AP81" s="90">
        <v>0</v>
      </c>
      <c r="AQ81" s="90"/>
      <c r="AR81" s="90"/>
      <c r="AS81" s="90" t="s">
        <v>341</v>
      </c>
      <c r="AT81" s="93" t="str">
        <f>HYPERLINK("https://www.youtube.com/channel/UCMka0q4vHGs-AHu-MNDg33Q")</f>
        <v>https://www.youtube.com/channel/UCMka0q4vHGs-AHu-MNDg33Q</v>
      </c>
      <c r="AU81" s="89" t="str">
        <f>REPLACE(INDEX(GroupVertices[Group],MATCH(Vertices[[#This Row],[Vertex]],GroupVertices[Vertex],0)),1,1,"")</f>
        <v>3</v>
      </c>
      <c r="AV81" s="48">
        <v>0</v>
      </c>
      <c r="AW81" s="49">
        <v>0</v>
      </c>
      <c r="AX81" s="48">
        <v>1</v>
      </c>
      <c r="AY81" s="49">
        <v>16.666666666666668</v>
      </c>
      <c r="AZ81" s="48">
        <v>0</v>
      </c>
      <c r="BA81" s="49">
        <v>0</v>
      </c>
      <c r="BB81" s="48">
        <v>5</v>
      </c>
      <c r="BC81" s="49">
        <v>83.33333333333333</v>
      </c>
      <c r="BD81" s="48">
        <v>6</v>
      </c>
      <c r="BE81" s="48"/>
      <c r="BF81" s="48"/>
      <c r="BG81" s="48"/>
      <c r="BH81" s="48"/>
      <c r="BI81" s="48"/>
      <c r="BJ81" s="48"/>
      <c r="BK81" s="48" t="s">
        <v>1347</v>
      </c>
      <c r="BL81" s="48" t="s">
        <v>1347</v>
      </c>
      <c r="BM81" s="119" t="s">
        <v>1465</v>
      </c>
      <c r="BN81" s="119" t="s">
        <v>1465</v>
      </c>
      <c r="BO81" s="119" t="s">
        <v>1583</v>
      </c>
      <c r="BP81" s="119" t="s">
        <v>1583</v>
      </c>
      <c r="BQ81" s="2"/>
      <c r="BR81" s="3"/>
      <c r="BS81" s="3"/>
      <c r="BT81" s="3"/>
      <c r="BU81" s="3"/>
    </row>
    <row r="82" spans="1:73" ht="15">
      <c r="A82" s="66" t="s">
        <v>846</v>
      </c>
      <c r="B82" s="67"/>
      <c r="C82" s="67"/>
      <c r="D82" s="68">
        <v>1000</v>
      </c>
      <c r="E82" s="124"/>
      <c r="F82" s="98" t="str">
        <f>HYPERLINK("https://yt3.ggpht.com/a/AATXAJyMzXODGVERMBVIctBi3-WCfP48Su-gNO8krA=s88-c-k-c0xffffffff-no-rj-mo")</f>
        <v>https://yt3.ggpht.com/a/AATXAJyMzXODGVERMBVIctBi3-WCfP48Su-gNO8krA=s88-c-k-c0xffffffff-no-rj-mo</v>
      </c>
      <c r="G82" s="125"/>
      <c r="H82" s="71" t="s">
        <v>1153</v>
      </c>
      <c r="I82" s="72"/>
      <c r="J82" s="126" t="s">
        <v>75</v>
      </c>
      <c r="K82" s="71" t="s">
        <v>1153</v>
      </c>
      <c r="L82" s="127">
        <v>1429.2857142857142</v>
      </c>
      <c r="M82" s="76">
        <v>997.9210205078125</v>
      </c>
      <c r="N82" s="76">
        <v>1348.575439453125</v>
      </c>
      <c r="O82" s="77"/>
      <c r="P82" s="78"/>
      <c r="Q82" s="78"/>
      <c r="R82" s="128"/>
      <c r="S82" s="48">
        <v>6</v>
      </c>
      <c r="T82" s="48">
        <v>1</v>
      </c>
      <c r="U82" s="49">
        <v>694.762944</v>
      </c>
      <c r="V82" s="49">
        <v>0.003636</v>
      </c>
      <c r="W82" s="49">
        <v>0.01715</v>
      </c>
      <c r="X82" s="49">
        <v>2.230474</v>
      </c>
      <c r="Y82" s="49">
        <v>0.023809523809523808</v>
      </c>
      <c r="Z82" s="49">
        <v>0</v>
      </c>
      <c r="AA82" s="73">
        <v>82</v>
      </c>
      <c r="AB82" s="73"/>
      <c r="AC82" s="74"/>
      <c r="AD82" s="90" t="s">
        <v>1153</v>
      </c>
      <c r="AE82" s="90"/>
      <c r="AF82" s="90"/>
      <c r="AG82" s="90"/>
      <c r="AH82" s="90"/>
      <c r="AI82" s="90"/>
      <c r="AJ82" s="96">
        <v>42859.06181712963</v>
      </c>
      <c r="AK82" s="93" t="str">
        <f>HYPERLINK("https://yt3.ggpht.com/a/AATXAJyMzXODGVERMBVIctBi3-WCfP48Su-gNO8krA=s88-c-k-c0xffffffff-no-rj-mo")</f>
        <v>https://yt3.ggpht.com/a/AATXAJyMzXODGVERMBVIctBi3-WCfP48Su-gNO8krA=s88-c-k-c0xffffffff-no-rj-mo</v>
      </c>
      <c r="AL82" s="90">
        <v>0</v>
      </c>
      <c r="AM82" s="90">
        <v>0</v>
      </c>
      <c r="AN82" s="90">
        <v>1</v>
      </c>
      <c r="AO82" s="90" t="b">
        <v>0</v>
      </c>
      <c r="AP82" s="90">
        <v>0</v>
      </c>
      <c r="AQ82" s="90"/>
      <c r="AR82" s="90"/>
      <c r="AS82" s="90" t="s">
        <v>341</v>
      </c>
      <c r="AT82" s="93" t="str">
        <f>HYPERLINK("https://www.youtube.com/channel/UCmwY6lE_XK0wxESST3mKjbQ")</f>
        <v>https://www.youtube.com/channel/UCmwY6lE_XK0wxESST3mKjbQ</v>
      </c>
      <c r="AU82" s="89" t="str">
        <f>REPLACE(INDEX(GroupVertices[Group],MATCH(Vertices[[#This Row],[Vertex]],GroupVertices[Vertex],0)),1,1,"")</f>
        <v>2</v>
      </c>
      <c r="AV82" s="48">
        <v>1</v>
      </c>
      <c r="AW82" s="49">
        <v>1.694915254237288</v>
      </c>
      <c r="AX82" s="48">
        <v>1</v>
      </c>
      <c r="AY82" s="49">
        <v>1.694915254237288</v>
      </c>
      <c r="AZ82" s="48">
        <v>0</v>
      </c>
      <c r="BA82" s="49">
        <v>0</v>
      </c>
      <c r="BB82" s="48">
        <v>57</v>
      </c>
      <c r="BC82" s="49">
        <v>96.61016949152543</v>
      </c>
      <c r="BD82" s="48">
        <v>59</v>
      </c>
      <c r="BE82" s="48"/>
      <c r="BF82" s="48"/>
      <c r="BG82" s="48"/>
      <c r="BH82" s="48"/>
      <c r="BI82" s="48"/>
      <c r="BJ82" s="48"/>
      <c r="BK82" s="48" t="s">
        <v>1347</v>
      </c>
      <c r="BL82" s="48" t="s">
        <v>1347</v>
      </c>
      <c r="BM82" s="119" t="s">
        <v>1466</v>
      </c>
      <c r="BN82" s="119" t="s">
        <v>1466</v>
      </c>
      <c r="BO82" s="119" t="s">
        <v>1584</v>
      </c>
      <c r="BP82" s="119" t="s">
        <v>1584</v>
      </c>
      <c r="BQ82" s="2"/>
      <c r="BR82" s="3"/>
      <c r="BS82" s="3"/>
      <c r="BT82" s="3"/>
      <c r="BU82" s="3"/>
    </row>
    <row r="83" spans="1:73" ht="15">
      <c r="A83" s="66" t="s">
        <v>843</v>
      </c>
      <c r="B83" s="67"/>
      <c r="C83" s="67"/>
      <c r="D83" s="68">
        <v>200</v>
      </c>
      <c r="E83" s="124"/>
      <c r="F83" s="98" t="str">
        <f>HYPERLINK("https://yt3.ggpht.com/a/AATXAJy9MDleyCKdsivZr_26i_lPsJHaJ_q1acF7dwcD=s88-c-k-c0xffffffff-no-rj-mo")</f>
        <v>https://yt3.ggpht.com/a/AATXAJy9MDleyCKdsivZr_26i_lPsJHaJ_q1acF7dwcD=s88-c-k-c0xffffffff-no-rj-mo</v>
      </c>
      <c r="G83" s="125"/>
      <c r="H83" s="71" t="s">
        <v>1150</v>
      </c>
      <c r="I83" s="72"/>
      <c r="J83" s="126" t="s">
        <v>159</v>
      </c>
      <c r="K83" s="71" t="s">
        <v>1150</v>
      </c>
      <c r="L83" s="127">
        <v>1</v>
      </c>
      <c r="M83" s="76">
        <v>415.5799865722656</v>
      </c>
      <c r="N83" s="76">
        <v>668.7496337890625</v>
      </c>
      <c r="O83" s="77"/>
      <c r="P83" s="78"/>
      <c r="Q83" s="78"/>
      <c r="R83" s="128"/>
      <c r="S83" s="48">
        <v>0</v>
      </c>
      <c r="T83" s="48">
        <v>1</v>
      </c>
      <c r="U83" s="49">
        <v>0</v>
      </c>
      <c r="V83" s="49">
        <v>0.002604</v>
      </c>
      <c r="W83" s="49">
        <v>0.002292</v>
      </c>
      <c r="X83" s="49">
        <v>0.420843</v>
      </c>
      <c r="Y83" s="49">
        <v>0</v>
      </c>
      <c r="Z83" s="49">
        <v>0</v>
      </c>
      <c r="AA83" s="73">
        <v>83</v>
      </c>
      <c r="AB83" s="73"/>
      <c r="AC83" s="74"/>
      <c r="AD83" s="90" t="s">
        <v>1150</v>
      </c>
      <c r="AE83" s="90"/>
      <c r="AF83" s="90"/>
      <c r="AG83" s="90"/>
      <c r="AH83" s="90"/>
      <c r="AI83" s="90"/>
      <c r="AJ83" s="96">
        <v>41559.63694444444</v>
      </c>
      <c r="AK83" s="93" t="str">
        <f>HYPERLINK("https://yt3.ggpht.com/a/AATXAJy9MDleyCKdsivZr_26i_lPsJHaJ_q1acF7dwcD=s88-c-k-c0xffffffff-no-rj-mo")</f>
        <v>https://yt3.ggpht.com/a/AATXAJy9MDleyCKdsivZr_26i_lPsJHaJ_q1acF7dwcD=s88-c-k-c0xffffffff-no-rj-mo</v>
      </c>
      <c r="AL83" s="90">
        <v>0</v>
      </c>
      <c r="AM83" s="90">
        <v>0</v>
      </c>
      <c r="AN83" s="90">
        <v>18</v>
      </c>
      <c r="AO83" s="90" t="b">
        <v>0</v>
      </c>
      <c r="AP83" s="90">
        <v>0</v>
      </c>
      <c r="AQ83" s="90"/>
      <c r="AR83" s="90"/>
      <c r="AS83" s="90" t="s">
        <v>341</v>
      </c>
      <c r="AT83" s="93" t="str">
        <f>HYPERLINK("https://www.youtube.com/channel/UCWMXGqlsz-IritD0jiw-ENg")</f>
        <v>https://www.youtube.com/channel/UCWMXGqlsz-IritD0jiw-ENg</v>
      </c>
      <c r="AU83" s="89" t="str">
        <f>REPLACE(INDEX(GroupVertices[Group],MATCH(Vertices[[#This Row],[Vertex]],GroupVertices[Vertex],0)),1,1,"")</f>
        <v>2</v>
      </c>
      <c r="AV83" s="48">
        <v>3</v>
      </c>
      <c r="AW83" s="49">
        <v>3.409090909090909</v>
      </c>
      <c r="AX83" s="48">
        <v>4</v>
      </c>
      <c r="AY83" s="49">
        <v>4.545454545454546</v>
      </c>
      <c r="AZ83" s="48">
        <v>0</v>
      </c>
      <c r="BA83" s="49">
        <v>0</v>
      </c>
      <c r="BB83" s="48">
        <v>81</v>
      </c>
      <c r="BC83" s="49">
        <v>92.04545454545455</v>
      </c>
      <c r="BD83" s="48">
        <v>88</v>
      </c>
      <c r="BE83" s="48"/>
      <c r="BF83" s="48"/>
      <c r="BG83" s="48"/>
      <c r="BH83" s="48"/>
      <c r="BI83" s="48"/>
      <c r="BJ83" s="48"/>
      <c r="BK83" s="48" t="s">
        <v>686</v>
      </c>
      <c r="BL83" s="48" t="s">
        <v>686</v>
      </c>
      <c r="BM83" s="119" t="s">
        <v>1467</v>
      </c>
      <c r="BN83" s="119" t="s">
        <v>1467</v>
      </c>
      <c r="BO83" s="119" t="s">
        <v>1585</v>
      </c>
      <c r="BP83" s="119" t="s">
        <v>1585</v>
      </c>
      <c r="BQ83" s="2"/>
      <c r="BR83" s="3"/>
      <c r="BS83" s="3"/>
      <c r="BT83" s="3"/>
      <c r="BU83" s="3"/>
    </row>
    <row r="84" spans="1:73" ht="15">
      <c r="A84" s="66" t="s">
        <v>844</v>
      </c>
      <c r="B84" s="67"/>
      <c r="C84" s="67"/>
      <c r="D84" s="68">
        <v>200</v>
      </c>
      <c r="E84" s="124"/>
      <c r="F84" s="98" t="str">
        <f>HYPERLINK("https://yt3.ggpht.com/a/AATXAJwgigvPU84hoixMKp5E51Rt7gzkBKhyzHD7Cbg1=s88-c-k-c0xffffffff-no-rj-mo")</f>
        <v>https://yt3.ggpht.com/a/AATXAJwgigvPU84hoixMKp5E51Rt7gzkBKhyzHD7Cbg1=s88-c-k-c0xffffffff-no-rj-mo</v>
      </c>
      <c r="G84" s="125"/>
      <c r="H84" s="71" t="s">
        <v>1151</v>
      </c>
      <c r="I84" s="72"/>
      <c r="J84" s="126" t="s">
        <v>159</v>
      </c>
      <c r="K84" s="71" t="s">
        <v>1151</v>
      </c>
      <c r="L84" s="127">
        <v>1</v>
      </c>
      <c r="M84" s="76">
        <v>179.3875732421875</v>
      </c>
      <c r="N84" s="76">
        <v>1432.734619140625</v>
      </c>
      <c r="O84" s="77"/>
      <c r="P84" s="78"/>
      <c r="Q84" s="78"/>
      <c r="R84" s="128"/>
      <c r="S84" s="48">
        <v>0</v>
      </c>
      <c r="T84" s="48">
        <v>1</v>
      </c>
      <c r="U84" s="49">
        <v>0</v>
      </c>
      <c r="V84" s="49">
        <v>0.002604</v>
      </c>
      <c r="W84" s="49">
        <v>0.002292</v>
      </c>
      <c r="X84" s="49">
        <v>0.420843</v>
      </c>
      <c r="Y84" s="49">
        <v>0</v>
      </c>
      <c r="Z84" s="49">
        <v>0</v>
      </c>
      <c r="AA84" s="73">
        <v>84</v>
      </c>
      <c r="AB84" s="73"/>
      <c r="AC84" s="74"/>
      <c r="AD84" s="90" t="s">
        <v>1151</v>
      </c>
      <c r="AE84" s="90" t="s">
        <v>1242</v>
      </c>
      <c r="AF84" s="90"/>
      <c r="AG84" s="90"/>
      <c r="AH84" s="90"/>
      <c r="AI84" s="90"/>
      <c r="AJ84" s="96">
        <v>41502.15232638889</v>
      </c>
      <c r="AK84" s="93" t="str">
        <f>HYPERLINK("https://yt3.ggpht.com/a/AATXAJwgigvPU84hoixMKp5E51Rt7gzkBKhyzHD7Cbg1=s88-c-k-c0xffffffff-no-rj-mo")</f>
        <v>https://yt3.ggpht.com/a/AATXAJwgigvPU84hoixMKp5E51Rt7gzkBKhyzHD7Cbg1=s88-c-k-c0xffffffff-no-rj-mo</v>
      </c>
      <c r="AL84" s="90">
        <v>256</v>
      </c>
      <c r="AM84" s="90">
        <v>0</v>
      </c>
      <c r="AN84" s="90">
        <v>6</v>
      </c>
      <c r="AO84" s="90" t="b">
        <v>0</v>
      </c>
      <c r="AP84" s="90">
        <v>58</v>
      </c>
      <c r="AQ84" s="90"/>
      <c r="AR84" s="90"/>
      <c r="AS84" s="90" t="s">
        <v>341</v>
      </c>
      <c r="AT84" s="93" t="str">
        <f>HYPERLINK("https://www.youtube.com/channel/UCgADIxA04eX5JqTbtiXkIBA")</f>
        <v>https://www.youtube.com/channel/UCgADIxA04eX5JqTbtiXkIBA</v>
      </c>
      <c r="AU84" s="89" t="str">
        <f>REPLACE(INDEX(GroupVertices[Group],MATCH(Vertices[[#This Row],[Vertex]],GroupVertices[Vertex],0)),1,1,"")</f>
        <v>2</v>
      </c>
      <c r="AV84" s="48">
        <v>2</v>
      </c>
      <c r="AW84" s="49">
        <v>2.5</v>
      </c>
      <c r="AX84" s="48">
        <v>3</v>
      </c>
      <c r="AY84" s="49">
        <v>3.75</v>
      </c>
      <c r="AZ84" s="48">
        <v>0</v>
      </c>
      <c r="BA84" s="49">
        <v>0</v>
      </c>
      <c r="BB84" s="48">
        <v>75</v>
      </c>
      <c r="BC84" s="49">
        <v>93.75</v>
      </c>
      <c r="BD84" s="48">
        <v>80</v>
      </c>
      <c r="BE84" s="48"/>
      <c r="BF84" s="48"/>
      <c r="BG84" s="48"/>
      <c r="BH84" s="48"/>
      <c r="BI84" s="48"/>
      <c r="BJ84" s="48"/>
      <c r="BK84" s="48" t="s">
        <v>686</v>
      </c>
      <c r="BL84" s="48" t="s">
        <v>686</v>
      </c>
      <c r="BM84" s="119" t="s">
        <v>1468</v>
      </c>
      <c r="BN84" s="119" t="s">
        <v>1468</v>
      </c>
      <c r="BO84" s="119" t="s">
        <v>1586</v>
      </c>
      <c r="BP84" s="119" t="s">
        <v>1586</v>
      </c>
      <c r="BQ84" s="2"/>
      <c r="BR84" s="3"/>
      <c r="BS84" s="3"/>
      <c r="BT84" s="3"/>
      <c r="BU84" s="3"/>
    </row>
    <row r="85" spans="1:73" ht="15">
      <c r="A85" s="66" t="s">
        <v>845</v>
      </c>
      <c r="B85" s="67"/>
      <c r="C85" s="67"/>
      <c r="D85" s="68">
        <v>360</v>
      </c>
      <c r="E85" s="124"/>
      <c r="F85" s="98" t="str">
        <f>HYPERLINK("https://yt3.ggpht.com/a/AATXAJyjibgKUfZ7LL4PNGhiUboG4pHRqJ25IKy98w=s88-c-k-c0xffffffff-no-rj-mo")</f>
        <v>https://yt3.ggpht.com/a/AATXAJyjibgKUfZ7LL4PNGhiUboG4pHRqJ25IKy98w=s88-c-k-c0xffffffff-no-rj-mo</v>
      </c>
      <c r="G85" s="125"/>
      <c r="H85" s="71" t="s">
        <v>1152</v>
      </c>
      <c r="I85" s="72"/>
      <c r="J85" s="126" t="s">
        <v>75</v>
      </c>
      <c r="K85" s="71" t="s">
        <v>1152</v>
      </c>
      <c r="L85" s="127">
        <v>239.04761904761904</v>
      </c>
      <c r="M85" s="76">
        <v>2220.091796875</v>
      </c>
      <c r="N85" s="76">
        <v>8138.9423828125</v>
      </c>
      <c r="O85" s="77"/>
      <c r="P85" s="78"/>
      <c r="Q85" s="78"/>
      <c r="R85" s="128"/>
      <c r="S85" s="48">
        <v>1</v>
      </c>
      <c r="T85" s="48">
        <v>3</v>
      </c>
      <c r="U85" s="49">
        <v>97.166667</v>
      </c>
      <c r="V85" s="49">
        <v>0.003623</v>
      </c>
      <c r="W85" s="49">
        <v>0.017074</v>
      </c>
      <c r="X85" s="49">
        <v>1.251519</v>
      </c>
      <c r="Y85" s="49">
        <v>0.16666666666666666</v>
      </c>
      <c r="Z85" s="49">
        <v>0</v>
      </c>
      <c r="AA85" s="73">
        <v>85</v>
      </c>
      <c r="AB85" s="73"/>
      <c r="AC85" s="74"/>
      <c r="AD85" s="90" t="s">
        <v>1152</v>
      </c>
      <c r="AE85" s="90"/>
      <c r="AF85" s="90"/>
      <c r="AG85" s="90"/>
      <c r="AH85" s="90"/>
      <c r="AI85" s="90"/>
      <c r="AJ85" s="96">
        <v>41588.804618055554</v>
      </c>
      <c r="AK85" s="93" t="str">
        <f>HYPERLINK("https://yt3.ggpht.com/a/AATXAJyjibgKUfZ7LL4PNGhiUboG4pHRqJ25IKy98w=s88-c-k-c0xffffffff-no-rj-mo")</f>
        <v>https://yt3.ggpht.com/a/AATXAJyjibgKUfZ7LL4PNGhiUboG4pHRqJ25IKy98w=s88-c-k-c0xffffffff-no-rj-mo</v>
      </c>
      <c r="AL85" s="90">
        <v>0</v>
      </c>
      <c r="AM85" s="90">
        <v>0</v>
      </c>
      <c r="AN85" s="90">
        <v>18</v>
      </c>
      <c r="AO85" s="90" t="b">
        <v>0</v>
      </c>
      <c r="AP85" s="90">
        <v>0</v>
      </c>
      <c r="AQ85" s="90"/>
      <c r="AR85" s="90"/>
      <c r="AS85" s="90" t="s">
        <v>341</v>
      </c>
      <c r="AT85" s="93" t="str">
        <f>HYPERLINK("https://www.youtube.com/channel/UCWo-NV8TV7NgAoRgvvuu0Fg")</f>
        <v>https://www.youtube.com/channel/UCWo-NV8TV7NgAoRgvvuu0Fg</v>
      </c>
      <c r="AU85" s="89" t="str">
        <f>REPLACE(INDEX(GroupVertices[Group],MATCH(Vertices[[#This Row],[Vertex]],GroupVertices[Vertex],0)),1,1,"")</f>
        <v>1</v>
      </c>
      <c r="AV85" s="48">
        <v>3</v>
      </c>
      <c r="AW85" s="49">
        <v>4</v>
      </c>
      <c r="AX85" s="48">
        <v>2</v>
      </c>
      <c r="AY85" s="49">
        <v>2.6666666666666665</v>
      </c>
      <c r="AZ85" s="48">
        <v>0</v>
      </c>
      <c r="BA85" s="49">
        <v>0</v>
      </c>
      <c r="BB85" s="48">
        <v>70</v>
      </c>
      <c r="BC85" s="49">
        <v>93.33333333333333</v>
      </c>
      <c r="BD85" s="48">
        <v>75</v>
      </c>
      <c r="BE85" s="48"/>
      <c r="BF85" s="48"/>
      <c r="BG85" s="48"/>
      <c r="BH85" s="48"/>
      <c r="BI85" s="48"/>
      <c r="BJ85" s="48"/>
      <c r="BK85" s="48" t="s">
        <v>1348</v>
      </c>
      <c r="BL85" s="48" t="s">
        <v>1349</v>
      </c>
      <c r="BM85" s="119" t="s">
        <v>1469</v>
      </c>
      <c r="BN85" s="119" t="s">
        <v>1469</v>
      </c>
      <c r="BO85" s="119" t="s">
        <v>1587</v>
      </c>
      <c r="BP85" s="119" t="s">
        <v>1587</v>
      </c>
      <c r="BQ85" s="2"/>
      <c r="BR85" s="3"/>
      <c r="BS85" s="3"/>
      <c r="BT85" s="3"/>
      <c r="BU85" s="3"/>
    </row>
    <row r="86" spans="1:73" ht="15">
      <c r="A86" s="66" t="s">
        <v>847</v>
      </c>
      <c r="B86" s="67"/>
      <c r="C86" s="67"/>
      <c r="D86" s="68">
        <v>200</v>
      </c>
      <c r="E86" s="124"/>
      <c r="F86" s="98" t="str">
        <f>HYPERLINK("https://yt3.ggpht.com/a/AATXAJxsJkYYbj8Mgkjg695M40eVpPMw9SfyKkAqHt3WnA=s88-c-k-c0xffffffff-no-rj-mo")</f>
        <v>https://yt3.ggpht.com/a/AATXAJxsJkYYbj8Mgkjg695M40eVpPMw9SfyKkAqHt3WnA=s88-c-k-c0xffffffff-no-rj-mo</v>
      </c>
      <c r="G86" s="125"/>
      <c r="H86" s="71" t="s">
        <v>1154</v>
      </c>
      <c r="I86" s="72"/>
      <c r="J86" s="126" t="s">
        <v>159</v>
      </c>
      <c r="K86" s="71" t="s">
        <v>1154</v>
      </c>
      <c r="L86" s="127">
        <v>1</v>
      </c>
      <c r="M86" s="76">
        <v>7154.27392578125</v>
      </c>
      <c r="N86" s="76">
        <v>6852.89111328125</v>
      </c>
      <c r="O86" s="77"/>
      <c r="P86" s="78"/>
      <c r="Q86" s="78"/>
      <c r="R86" s="128"/>
      <c r="S86" s="48">
        <v>0</v>
      </c>
      <c r="T86" s="48">
        <v>1</v>
      </c>
      <c r="U86" s="49">
        <v>0</v>
      </c>
      <c r="V86" s="49">
        <v>0.002564</v>
      </c>
      <c r="W86" s="49">
        <v>0.00217</v>
      </c>
      <c r="X86" s="49">
        <v>0.452915</v>
      </c>
      <c r="Y86" s="49">
        <v>0</v>
      </c>
      <c r="Z86" s="49">
        <v>0</v>
      </c>
      <c r="AA86" s="73">
        <v>86</v>
      </c>
      <c r="AB86" s="73"/>
      <c r="AC86" s="74"/>
      <c r="AD86" s="90" t="s">
        <v>1154</v>
      </c>
      <c r="AE86" s="90"/>
      <c r="AF86" s="90"/>
      <c r="AG86" s="90"/>
      <c r="AH86" s="90"/>
      <c r="AI86" s="90"/>
      <c r="AJ86" s="96">
        <v>41907.02815972222</v>
      </c>
      <c r="AK86" s="93" t="str">
        <f>HYPERLINK("https://yt3.ggpht.com/a/AATXAJxsJkYYbj8Mgkjg695M40eVpPMw9SfyKkAqHt3WnA=s88-c-k-c0xffffffff-no-rj-mo")</f>
        <v>https://yt3.ggpht.com/a/AATXAJxsJkYYbj8Mgkjg695M40eVpPMw9SfyKkAqHt3WnA=s88-c-k-c0xffffffff-no-rj-mo</v>
      </c>
      <c r="AL86" s="90">
        <v>0</v>
      </c>
      <c r="AM86" s="90">
        <v>0</v>
      </c>
      <c r="AN86" s="90">
        <v>4</v>
      </c>
      <c r="AO86" s="90" t="b">
        <v>0</v>
      </c>
      <c r="AP86" s="90">
        <v>0</v>
      </c>
      <c r="AQ86" s="90"/>
      <c r="AR86" s="90"/>
      <c r="AS86" s="90" t="s">
        <v>341</v>
      </c>
      <c r="AT86" s="93" t="str">
        <f>HYPERLINK("https://www.youtube.com/channel/UCuDm7IEMWAR_lgmIfeAd-lA")</f>
        <v>https://www.youtube.com/channel/UCuDm7IEMWAR_lgmIfeAd-lA</v>
      </c>
      <c r="AU86" s="89" t="str">
        <f>REPLACE(INDEX(GroupVertices[Group],MATCH(Vertices[[#This Row],[Vertex]],GroupVertices[Vertex],0)),1,1,"")</f>
        <v>3</v>
      </c>
      <c r="AV86" s="48">
        <v>1</v>
      </c>
      <c r="AW86" s="49">
        <v>6.666666666666667</v>
      </c>
      <c r="AX86" s="48">
        <v>1</v>
      </c>
      <c r="AY86" s="49">
        <v>6.666666666666667</v>
      </c>
      <c r="AZ86" s="48">
        <v>0</v>
      </c>
      <c r="BA86" s="49">
        <v>0</v>
      </c>
      <c r="BB86" s="48">
        <v>13</v>
      </c>
      <c r="BC86" s="49">
        <v>86.66666666666667</v>
      </c>
      <c r="BD86" s="48">
        <v>15</v>
      </c>
      <c r="BE86" s="48"/>
      <c r="BF86" s="48"/>
      <c r="BG86" s="48"/>
      <c r="BH86" s="48"/>
      <c r="BI86" s="48"/>
      <c r="BJ86" s="48"/>
      <c r="BK86" s="48" t="s">
        <v>1347</v>
      </c>
      <c r="BL86" s="48" t="s">
        <v>1347</v>
      </c>
      <c r="BM86" s="119" t="s">
        <v>1470</v>
      </c>
      <c r="BN86" s="119" t="s">
        <v>1470</v>
      </c>
      <c r="BO86" s="119" t="s">
        <v>1588</v>
      </c>
      <c r="BP86" s="119" t="s">
        <v>1588</v>
      </c>
      <c r="BQ86" s="2"/>
      <c r="BR86" s="3"/>
      <c r="BS86" s="3"/>
      <c r="BT86" s="3"/>
      <c r="BU86" s="3"/>
    </row>
    <row r="87" spans="1:73" ht="15">
      <c r="A87" s="66" t="s">
        <v>850</v>
      </c>
      <c r="B87" s="67"/>
      <c r="C87" s="67"/>
      <c r="D87" s="68">
        <v>680</v>
      </c>
      <c r="E87" s="124"/>
      <c r="F87" s="98" t="str">
        <f>HYPERLINK("https://yt3.ggpht.com/a/AATXAJx4J7j0IK2iTpf9ATSbrooYyeYzlnJBZaiBSw=s88-c-k-c0xffffffff-no-rj-mo")</f>
        <v>https://yt3.ggpht.com/a/AATXAJx4J7j0IK2iTpf9ATSbrooYyeYzlnJBZaiBSw=s88-c-k-c0xffffffff-no-rj-mo</v>
      </c>
      <c r="G87" s="125"/>
      <c r="H87" s="71" t="s">
        <v>1157</v>
      </c>
      <c r="I87" s="72"/>
      <c r="J87" s="126" t="s">
        <v>75</v>
      </c>
      <c r="K87" s="71" t="s">
        <v>1157</v>
      </c>
      <c r="L87" s="127">
        <v>715.1428571428571</v>
      </c>
      <c r="M87" s="76">
        <v>6276.6142578125</v>
      </c>
      <c r="N87" s="76">
        <v>7373.16064453125</v>
      </c>
      <c r="O87" s="77"/>
      <c r="P87" s="78"/>
      <c r="Q87" s="78"/>
      <c r="R87" s="128"/>
      <c r="S87" s="48">
        <v>3</v>
      </c>
      <c r="T87" s="48">
        <v>1</v>
      </c>
      <c r="U87" s="49">
        <v>444.689784</v>
      </c>
      <c r="V87" s="49">
        <v>0.003559</v>
      </c>
      <c r="W87" s="49">
        <v>0.016236</v>
      </c>
      <c r="X87" s="49">
        <v>1.425485</v>
      </c>
      <c r="Y87" s="49">
        <v>0</v>
      </c>
      <c r="Z87" s="49">
        <v>0</v>
      </c>
      <c r="AA87" s="73">
        <v>87</v>
      </c>
      <c r="AB87" s="73"/>
      <c r="AC87" s="74"/>
      <c r="AD87" s="90" t="s">
        <v>1157</v>
      </c>
      <c r="AE87" s="90"/>
      <c r="AF87" s="90"/>
      <c r="AG87" s="90"/>
      <c r="AH87" s="90"/>
      <c r="AI87" s="90"/>
      <c r="AJ87" s="96">
        <v>42660.550833333335</v>
      </c>
      <c r="AK87" s="93" t="str">
        <f>HYPERLINK("https://yt3.ggpht.com/a/AATXAJx4J7j0IK2iTpf9ATSbrooYyeYzlnJBZaiBSw=s88-c-k-c0xffffffff-no-rj-mo")</f>
        <v>https://yt3.ggpht.com/a/AATXAJx4J7j0IK2iTpf9ATSbrooYyeYzlnJBZaiBSw=s88-c-k-c0xffffffff-no-rj-mo</v>
      </c>
      <c r="AL87" s="90">
        <v>0</v>
      </c>
      <c r="AM87" s="90">
        <v>0</v>
      </c>
      <c r="AN87" s="90">
        <v>9</v>
      </c>
      <c r="AO87" s="90" t="b">
        <v>0</v>
      </c>
      <c r="AP87" s="90">
        <v>0</v>
      </c>
      <c r="AQ87" s="90"/>
      <c r="AR87" s="90"/>
      <c r="AS87" s="90" t="s">
        <v>341</v>
      </c>
      <c r="AT87" s="93" t="str">
        <f>HYPERLINK("https://www.youtube.com/channel/UCgxim1If1GRYfn0LlcNMZPw")</f>
        <v>https://www.youtube.com/channel/UCgxim1If1GRYfn0LlcNMZPw</v>
      </c>
      <c r="AU87" s="89" t="str">
        <f>REPLACE(INDEX(GroupVertices[Group],MATCH(Vertices[[#This Row],[Vertex]],GroupVertices[Vertex],0)),1,1,"")</f>
        <v>3</v>
      </c>
      <c r="AV87" s="48">
        <v>1</v>
      </c>
      <c r="AW87" s="49">
        <v>4.761904761904762</v>
      </c>
      <c r="AX87" s="48">
        <v>1</v>
      </c>
      <c r="AY87" s="49">
        <v>4.761904761904762</v>
      </c>
      <c r="AZ87" s="48">
        <v>0</v>
      </c>
      <c r="BA87" s="49">
        <v>0</v>
      </c>
      <c r="BB87" s="48">
        <v>19</v>
      </c>
      <c r="BC87" s="49">
        <v>90.47619047619048</v>
      </c>
      <c r="BD87" s="48">
        <v>21</v>
      </c>
      <c r="BE87" s="48"/>
      <c r="BF87" s="48"/>
      <c r="BG87" s="48"/>
      <c r="BH87" s="48"/>
      <c r="BI87" s="48"/>
      <c r="BJ87" s="48"/>
      <c r="BK87" s="48" t="s">
        <v>1347</v>
      </c>
      <c r="BL87" s="48" t="s">
        <v>1347</v>
      </c>
      <c r="BM87" s="119" t="s">
        <v>1471</v>
      </c>
      <c r="BN87" s="119" t="s">
        <v>1471</v>
      </c>
      <c r="BO87" s="119" t="s">
        <v>1589</v>
      </c>
      <c r="BP87" s="119" t="s">
        <v>1589</v>
      </c>
      <c r="BQ87" s="2"/>
      <c r="BR87" s="3"/>
      <c r="BS87" s="3"/>
      <c r="BT87" s="3"/>
      <c r="BU87" s="3"/>
    </row>
    <row r="88" spans="1:73" ht="15">
      <c r="A88" s="66" t="s">
        <v>848</v>
      </c>
      <c r="B88" s="67"/>
      <c r="C88" s="67"/>
      <c r="D88" s="68">
        <v>360</v>
      </c>
      <c r="E88" s="124"/>
      <c r="F88" s="98" t="str">
        <f>HYPERLINK("https://yt3.ggpht.com/a/AATXAJyDDB8fsAGeLkF4MYGoOEcy-yjBa6KMKv9v4amSJQ=s88-c-k-c0xffffffff-no-rj-mo")</f>
        <v>https://yt3.ggpht.com/a/AATXAJyDDB8fsAGeLkF4MYGoOEcy-yjBa6KMKv9v4amSJQ=s88-c-k-c0xffffffff-no-rj-mo</v>
      </c>
      <c r="G88" s="125"/>
      <c r="H88" s="71" t="s">
        <v>1155</v>
      </c>
      <c r="I88" s="72"/>
      <c r="J88" s="126" t="s">
        <v>75</v>
      </c>
      <c r="K88" s="71" t="s">
        <v>1155</v>
      </c>
      <c r="L88" s="127">
        <v>239.04761904761904</v>
      </c>
      <c r="M88" s="76">
        <v>6861.212890625</v>
      </c>
      <c r="N88" s="76">
        <v>8208.099609375</v>
      </c>
      <c r="O88" s="77"/>
      <c r="P88" s="78"/>
      <c r="Q88" s="78"/>
      <c r="R88" s="128"/>
      <c r="S88" s="48">
        <v>1</v>
      </c>
      <c r="T88" s="48">
        <v>1</v>
      </c>
      <c r="U88" s="49">
        <v>10.689784</v>
      </c>
      <c r="V88" s="49">
        <v>0.003509</v>
      </c>
      <c r="W88" s="49">
        <v>0.015657</v>
      </c>
      <c r="X88" s="49">
        <v>0.65553</v>
      </c>
      <c r="Y88" s="49">
        <v>0</v>
      </c>
      <c r="Z88" s="49">
        <v>0</v>
      </c>
      <c r="AA88" s="73">
        <v>88</v>
      </c>
      <c r="AB88" s="73"/>
      <c r="AC88" s="74"/>
      <c r="AD88" s="90" t="s">
        <v>1155</v>
      </c>
      <c r="AE88" s="90" t="s">
        <v>1243</v>
      </c>
      <c r="AF88" s="90"/>
      <c r="AG88" s="90"/>
      <c r="AH88" s="90"/>
      <c r="AI88" s="90"/>
      <c r="AJ88" s="96">
        <v>41262.06748842593</v>
      </c>
      <c r="AK88" s="93" t="str">
        <f>HYPERLINK("https://yt3.ggpht.com/a/AATXAJyDDB8fsAGeLkF4MYGoOEcy-yjBa6KMKv9v4amSJQ=s88-c-k-c0xffffffff-no-rj-mo")</f>
        <v>https://yt3.ggpht.com/a/AATXAJyDDB8fsAGeLkF4MYGoOEcy-yjBa6KMKv9v4amSJQ=s88-c-k-c0xffffffff-no-rj-mo</v>
      </c>
      <c r="AL88" s="90">
        <v>9993</v>
      </c>
      <c r="AM88" s="90">
        <v>0</v>
      </c>
      <c r="AN88" s="90">
        <v>108</v>
      </c>
      <c r="AO88" s="90" t="b">
        <v>0</v>
      </c>
      <c r="AP88" s="90">
        <v>200</v>
      </c>
      <c r="AQ88" s="90"/>
      <c r="AR88" s="90"/>
      <c r="AS88" s="90" t="s">
        <v>341</v>
      </c>
      <c r="AT88" s="93" t="str">
        <f>HYPERLINK("https://www.youtube.com/channel/UC3FuzRl3D9jgmPNptxrJiIA")</f>
        <v>https://www.youtube.com/channel/UC3FuzRl3D9jgmPNptxrJiIA</v>
      </c>
      <c r="AU88" s="89" t="str">
        <f>REPLACE(INDEX(GroupVertices[Group],MATCH(Vertices[[#This Row],[Vertex]],GroupVertices[Vertex],0)),1,1,"")</f>
        <v>3</v>
      </c>
      <c r="AV88" s="48">
        <v>0</v>
      </c>
      <c r="AW88" s="49">
        <v>0</v>
      </c>
      <c r="AX88" s="48">
        <v>2</v>
      </c>
      <c r="AY88" s="49">
        <v>28.571428571428573</v>
      </c>
      <c r="AZ88" s="48">
        <v>0</v>
      </c>
      <c r="BA88" s="49">
        <v>0</v>
      </c>
      <c r="BB88" s="48">
        <v>5</v>
      </c>
      <c r="BC88" s="49">
        <v>71.42857142857143</v>
      </c>
      <c r="BD88" s="48">
        <v>7</v>
      </c>
      <c r="BE88" s="48"/>
      <c r="BF88" s="48"/>
      <c r="BG88" s="48"/>
      <c r="BH88" s="48"/>
      <c r="BI88" s="48"/>
      <c r="BJ88" s="48"/>
      <c r="BK88" s="48" t="s">
        <v>1347</v>
      </c>
      <c r="BL88" s="48" t="s">
        <v>1347</v>
      </c>
      <c r="BM88" s="119" t="s">
        <v>1472</v>
      </c>
      <c r="BN88" s="119" t="s">
        <v>1472</v>
      </c>
      <c r="BO88" s="119" t="s">
        <v>1590</v>
      </c>
      <c r="BP88" s="119" t="s">
        <v>1590</v>
      </c>
      <c r="BQ88" s="2"/>
      <c r="BR88" s="3"/>
      <c r="BS88" s="3"/>
      <c r="BT88" s="3"/>
      <c r="BU88" s="3"/>
    </row>
    <row r="89" spans="1:73" ht="15">
      <c r="A89" s="66" t="s">
        <v>849</v>
      </c>
      <c r="B89" s="67"/>
      <c r="C89" s="67"/>
      <c r="D89" s="68">
        <v>200</v>
      </c>
      <c r="E89" s="124"/>
      <c r="F89" s="98" t="str">
        <f>HYPERLINK("https://yt3.ggpht.com/a/AATXAJyRyQWuUe3I_HgoTqw4Y8q4lTDXL9PBmTp2maKD=s88-c-k-c0xffffffff-no-rj-mo")</f>
        <v>https://yt3.ggpht.com/a/AATXAJyRyQWuUe3I_HgoTqw4Y8q4lTDXL9PBmTp2maKD=s88-c-k-c0xffffffff-no-rj-mo</v>
      </c>
      <c r="G89" s="125"/>
      <c r="H89" s="71" t="s">
        <v>1156</v>
      </c>
      <c r="I89" s="72"/>
      <c r="J89" s="126" t="s">
        <v>159</v>
      </c>
      <c r="K89" s="71" t="s">
        <v>1156</v>
      </c>
      <c r="L89" s="127">
        <v>1</v>
      </c>
      <c r="M89" s="76">
        <v>5954.4267578125</v>
      </c>
      <c r="N89" s="76">
        <v>6473.3408203125</v>
      </c>
      <c r="O89" s="77"/>
      <c r="P89" s="78"/>
      <c r="Q89" s="78"/>
      <c r="R89" s="128"/>
      <c r="S89" s="48">
        <v>0</v>
      </c>
      <c r="T89" s="48">
        <v>1</v>
      </c>
      <c r="U89" s="49">
        <v>0</v>
      </c>
      <c r="V89" s="49">
        <v>0.002564</v>
      </c>
      <c r="W89" s="49">
        <v>0.00217</v>
      </c>
      <c r="X89" s="49">
        <v>0.452915</v>
      </c>
      <c r="Y89" s="49">
        <v>0</v>
      </c>
      <c r="Z89" s="49">
        <v>0</v>
      </c>
      <c r="AA89" s="73">
        <v>89</v>
      </c>
      <c r="AB89" s="73"/>
      <c r="AC89" s="74"/>
      <c r="AD89" s="90" t="s">
        <v>1156</v>
      </c>
      <c r="AE89" s="90"/>
      <c r="AF89" s="90"/>
      <c r="AG89" s="90"/>
      <c r="AH89" s="90"/>
      <c r="AI89" s="90"/>
      <c r="AJ89" s="96">
        <v>40726.780694444446</v>
      </c>
      <c r="AK89" s="93" t="str">
        <f>HYPERLINK("https://yt3.ggpht.com/a/AATXAJyRyQWuUe3I_HgoTqw4Y8q4lTDXL9PBmTp2maKD=s88-c-k-c0xffffffff-no-rj-mo")</f>
        <v>https://yt3.ggpht.com/a/AATXAJyRyQWuUe3I_HgoTqw4Y8q4lTDXL9PBmTp2maKD=s88-c-k-c0xffffffff-no-rj-mo</v>
      </c>
      <c r="AL89" s="90">
        <v>30</v>
      </c>
      <c r="AM89" s="90">
        <v>0</v>
      </c>
      <c r="AN89" s="90">
        <v>2</v>
      </c>
      <c r="AO89" s="90" t="b">
        <v>0</v>
      </c>
      <c r="AP89" s="90">
        <v>1</v>
      </c>
      <c r="AQ89" s="90"/>
      <c r="AR89" s="90"/>
      <c r="AS89" s="90" t="s">
        <v>341</v>
      </c>
      <c r="AT89" s="93" t="str">
        <f>HYPERLINK("https://www.youtube.com/channel/UCx9C-DNiaH3FqHhf-Sruz2w")</f>
        <v>https://www.youtube.com/channel/UCx9C-DNiaH3FqHhf-Sruz2w</v>
      </c>
      <c r="AU89" s="89" t="str">
        <f>REPLACE(INDEX(GroupVertices[Group],MATCH(Vertices[[#This Row],[Vertex]],GroupVertices[Vertex],0)),1,1,"")</f>
        <v>3</v>
      </c>
      <c r="AV89" s="48">
        <v>1</v>
      </c>
      <c r="AW89" s="49">
        <v>11.11111111111111</v>
      </c>
      <c r="AX89" s="48">
        <v>2</v>
      </c>
      <c r="AY89" s="49">
        <v>22.22222222222222</v>
      </c>
      <c r="AZ89" s="48">
        <v>0</v>
      </c>
      <c r="BA89" s="49">
        <v>0</v>
      </c>
      <c r="BB89" s="48">
        <v>6</v>
      </c>
      <c r="BC89" s="49">
        <v>66.66666666666667</v>
      </c>
      <c r="BD89" s="48">
        <v>9</v>
      </c>
      <c r="BE89" s="48"/>
      <c r="BF89" s="48"/>
      <c r="BG89" s="48"/>
      <c r="BH89" s="48"/>
      <c r="BI89" s="48"/>
      <c r="BJ89" s="48"/>
      <c r="BK89" s="48" t="s">
        <v>1347</v>
      </c>
      <c r="BL89" s="48" t="s">
        <v>1347</v>
      </c>
      <c r="BM89" s="119" t="s">
        <v>1473</v>
      </c>
      <c r="BN89" s="119" t="s">
        <v>1473</v>
      </c>
      <c r="BO89" s="119" t="s">
        <v>1591</v>
      </c>
      <c r="BP89" s="119" t="s">
        <v>1591</v>
      </c>
      <c r="BQ89" s="2"/>
      <c r="BR89" s="3"/>
      <c r="BS89" s="3"/>
      <c r="BT89" s="3"/>
      <c r="BU89" s="3"/>
    </row>
    <row r="90" spans="1:73" ht="15">
      <c r="A90" s="66" t="s">
        <v>851</v>
      </c>
      <c r="B90" s="67"/>
      <c r="C90" s="67"/>
      <c r="D90" s="68">
        <v>360</v>
      </c>
      <c r="E90" s="124"/>
      <c r="F90" s="98" t="str">
        <f>HYPERLINK("https://yt3.ggpht.com/a/AATXAJxcbGzkI-roRoydbqz94hCOkyT6I2H_hYJyYo2UIw=s88-c-k-c0xffffffff-no-rj-mo")</f>
        <v>https://yt3.ggpht.com/a/AATXAJxcbGzkI-roRoydbqz94hCOkyT6I2H_hYJyYo2UIw=s88-c-k-c0xffffffff-no-rj-mo</v>
      </c>
      <c r="G90" s="125"/>
      <c r="H90" s="71" t="s">
        <v>1158</v>
      </c>
      <c r="I90" s="72"/>
      <c r="J90" s="126" t="s">
        <v>75</v>
      </c>
      <c r="K90" s="71" t="s">
        <v>1158</v>
      </c>
      <c r="L90" s="127">
        <v>239.04761904761904</v>
      </c>
      <c r="M90" s="76">
        <v>3180.261474609375</v>
      </c>
      <c r="N90" s="76">
        <v>3018.88720703125</v>
      </c>
      <c r="O90" s="77"/>
      <c r="P90" s="78"/>
      <c r="Q90" s="78"/>
      <c r="R90" s="128"/>
      <c r="S90" s="48">
        <v>1</v>
      </c>
      <c r="T90" s="48">
        <v>1</v>
      </c>
      <c r="U90" s="49">
        <v>34.201632</v>
      </c>
      <c r="V90" s="49">
        <v>0.003509</v>
      </c>
      <c r="W90" s="49">
        <v>0.013415</v>
      </c>
      <c r="X90" s="49">
        <v>0.654679</v>
      </c>
      <c r="Y90" s="49">
        <v>0</v>
      </c>
      <c r="Z90" s="49">
        <v>0</v>
      </c>
      <c r="AA90" s="73">
        <v>90</v>
      </c>
      <c r="AB90" s="73"/>
      <c r="AC90" s="74"/>
      <c r="AD90" s="90" t="s">
        <v>1158</v>
      </c>
      <c r="AE90" s="90" t="s">
        <v>1244</v>
      </c>
      <c r="AF90" s="90"/>
      <c r="AG90" s="90"/>
      <c r="AH90" s="90"/>
      <c r="AI90" s="90"/>
      <c r="AJ90" s="96">
        <v>41235.88586805556</v>
      </c>
      <c r="AK90" s="93" t="str">
        <f>HYPERLINK("https://yt3.ggpht.com/a/AATXAJxcbGzkI-roRoydbqz94hCOkyT6I2H_hYJyYo2UIw=s88-c-k-c0xffffffff-no-rj-mo")</f>
        <v>https://yt3.ggpht.com/a/AATXAJxcbGzkI-roRoydbqz94hCOkyT6I2H_hYJyYo2UIw=s88-c-k-c0xffffffff-no-rj-mo</v>
      </c>
      <c r="AL90" s="90">
        <v>0</v>
      </c>
      <c r="AM90" s="90">
        <v>0</v>
      </c>
      <c r="AN90" s="90">
        <v>5</v>
      </c>
      <c r="AO90" s="90" t="b">
        <v>0</v>
      </c>
      <c r="AP90" s="90">
        <v>0</v>
      </c>
      <c r="AQ90" s="90"/>
      <c r="AR90" s="90"/>
      <c r="AS90" s="90" t="s">
        <v>341</v>
      </c>
      <c r="AT90" s="93" t="str">
        <f>HYPERLINK("https://www.youtube.com/channel/UCTD3T1oiITOBMSLWnOlRx9g")</f>
        <v>https://www.youtube.com/channel/UCTD3T1oiITOBMSLWnOlRx9g</v>
      </c>
      <c r="AU90" s="89" t="str">
        <f>REPLACE(INDEX(GroupVertices[Group],MATCH(Vertices[[#This Row],[Vertex]],GroupVertices[Vertex],0)),1,1,"")</f>
        <v>2</v>
      </c>
      <c r="AV90" s="48">
        <v>2</v>
      </c>
      <c r="AW90" s="49">
        <v>4.081632653061225</v>
      </c>
      <c r="AX90" s="48">
        <v>2</v>
      </c>
      <c r="AY90" s="49">
        <v>4.081632653061225</v>
      </c>
      <c r="AZ90" s="48">
        <v>0</v>
      </c>
      <c r="BA90" s="49">
        <v>0</v>
      </c>
      <c r="BB90" s="48">
        <v>45</v>
      </c>
      <c r="BC90" s="49">
        <v>91.83673469387755</v>
      </c>
      <c r="BD90" s="48">
        <v>49</v>
      </c>
      <c r="BE90" s="48"/>
      <c r="BF90" s="48"/>
      <c r="BG90" s="48"/>
      <c r="BH90" s="48"/>
      <c r="BI90" s="48"/>
      <c r="BJ90" s="48"/>
      <c r="BK90" s="48" t="s">
        <v>1347</v>
      </c>
      <c r="BL90" s="48" t="s">
        <v>1347</v>
      </c>
      <c r="BM90" s="119" t="s">
        <v>1474</v>
      </c>
      <c r="BN90" s="119" t="s">
        <v>1474</v>
      </c>
      <c r="BO90" s="119" t="s">
        <v>1592</v>
      </c>
      <c r="BP90" s="119" t="s">
        <v>1592</v>
      </c>
      <c r="BQ90" s="2"/>
      <c r="BR90" s="3"/>
      <c r="BS90" s="3"/>
      <c r="BT90" s="3"/>
      <c r="BU90" s="3"/>
    </row>
    <row r="91" spans="1:73" ht="15">
      <c r="A91" s="66" t="s">
        <v>852</v>
      </c>
      <c r="B91" s="67"/>
      <c r="C91" s="67"/>
      <c r="D91" s="68">
        <v>360</v>
      </c>
      <c r="E91" s="124"/>
      <c r="F91" s="98" t="str">
        <f>HYPERLINK("https://yt3.ggpht.com/a/AATXAJzBOVeMJje-gN2Fkm65eVmmKa1fBFN2DbRzvQ=s88-c-k-c0xffffffff-no-rj-mo")</f>
        <v>https://yt3.ggpht.com/a/AATXAJzBOVeMJje-gN2Fkm65eVmmKa1fBFN2DbRzvQ=s88-c-k-c0xffffffff-no-rj-mo</v>
      </c>
      <c r="G91" s="125"/>
      <c r="H91" s="71" t="s">
        <v>1159</v>
      </c>
      <c r="I91" s="72"/>
      <c r="J91" s="126" t="s">
        <v>75</v>
      </c>
      <c r="K91" s="71" t="s">
        <v>1159</v>
      </c>
      <c r="L91" s="127">
        <v>239.04761904761904</v>
      </c>
      <c r="M91" s="76">
        <v>2701.538818359375</v>
      </c>
      <c r="N91" s="76">
        <v>7666.11328125</v>
      </c>
      <c r="O91" s="77"/>
      <c r="P91" s="78"/>
      <c r="Q91" s="78"/>
      <c r="R91" s="128"/>
      <c r="S91" s="48">
        <v>1</v>
      </c>
      <c r="T91" s="48">
        <v>1</v>
      </c>
      <c r="U91" s="49">
        <v>64.666667</v>
      </c>
      <c r="V91" s="49">
        <v>0.003509</v>
      </c>
      <c r="W91" s="49">
        <v>0.012803</v>
      </c>
      <c r="X91" s="49">
        <v>0.674297</v>
      </c>
      <c r="Y91" s="49">
        <v>0</v>
      </c>
      <c r="Z91" s="49">
        <v>0</v>
      </c>
      <c r="AA91" s="73">
        <v>91</v>
      </c>
      <c r="AB91" s="73"/>
      <c r="AC91" s="74"/>
      <c r="AD91" s="90" t="s">
        <v>1159</v>
      </c>
      <c r="AE91" s="90"/>
      <c r="AF91" s="90"/>
      <c r="AG91" s="90"/>
      <c r="AH91" s="90"/>
      <c r="AI91" s="90"/>
      <c r="AJ91" s="96">
        <v>42938.10364583333</v>
      </c>
      <c r="AK91" s="93" t="str">
        <f>HYPERLINK("https://yt3.ggpht.com/a/AATXAJzBOVeMJje-gN2Fkm65eVmmKa1fBFN2DbRzvQ=s88-c-k-c0xffffffff-no-rj-mo")</f>
        <v>https://yt3.ggpht.com/a/AATXAJzBOVeMJje-gN2Fkm65eVmmKa1fBFN2DbRzvQ=s88-c-k-c0xffffffff-no-rj-mo</v>
      </c>
      <c r="AL91" s="90">
        <v>0</v>
      </c>
      <c r="AM91" s="90">
        <v>0</v>
      </c>
      <c r="AN91" s="90">
        <v>0</v>
      </c>
      <c r="AO91" s="90" t="b">
        <v>0</v>
      </c>
      <c r="AP91" s="90">
        <v>0</v>
      </c>
      <c r="AQ91" s="90"/>
      <c r="AR91" s="90"/>
      <c r="AS91" s="90" t="s">
        <v>341</v>
      </c>
      <c r="AT91" s="93" t="str">
        <f>HYPERLINK("https://www.youtube.com/channel/UCElFOVHo3wkleRtjj2nkmoQ")</f>
        <v>https://www.youtube.com/channel/UCElFOVHo3wkleRtjj2nkmoQ</v>
      </c>
      <c r="AU91" s="89" t="str">
        <f>REPLACE(INDEX(GroupVertices[Group],MATCH(Vertices[[#This Row],[Vertex]],GroupVertices[Vertex],0)),1,1,"")</f>
        <v>1</v>
      </c>
      <c r="AV91" s="48">
        <v>2</v>
      </c>
      <c r="AW91" s="49">
        <v>4.3478260869565215</v>
      </c>
      <c r="AX91" s="48">
        <v>1</v>
      </c>
      <c r="AY91" s="49">
        <v>2.1739130434782608</v>
      </c>
      <c r="AZ91" s="48">
        <v>0</v>
      </c>
      <c r="BA91" s="49">
        <v>0</v>
      </c>
      <c r="BB91" s="48">
        <v>43</v>
      </c>
      <c r="BC91" s="49">
        <v>93.47826086956522</v>
      </c>
      <c r="BD91" s="48">
        <v>46</v>
      </c>
      <c r="BE91" s="48"/>
      <c r="BF91" s="48"/>
      <c r="BG91" s="48"/>
      <c r="BH91" s="48"/>
      <c r="BI91" s="48"/>
      <c r="BJ91" s="48"/>
      <c r="BK91" s="48" t="s">
        <v>1347</v>
      </c>
      <c r="BL91" s="48" t="s">
        <v>1347</v>
      </c>
      <c r="BM91" s="119" t="s">
        <v>1475</v>
      </c>
      <c r="BN91" s="119" t="s">
        <v>1475</v>
      </c>
      <c r="BO91" s="119" t="s">
        <v>1593</v>
      </c>
      <c r="BP91" s="119" t="s">
        <v>1593</v>
      </c>
      <c r="BQ91" s="2"/>
      <c r="BR91" s="3"/>
      <c r="BS91" s="3"/>
      <c r="BT91" s="3"/>
      <c r="BU91" s="3"/>
    </row>
    <row r="92" spans="1:73" ht="15">
      <c r="A92" s="66" t="s">
        <v>853</v>
      </c>
      <c r="B92" s="67"/>
      <c r="C92" s="67"/>
      <c r="D92" s="68">
        <v>360</v>
      </c>
      <c r="E92" s="124"/>
      <c r="F92" s="98" t="str">
        <f>HYPERLINK("https://yt3.ggpht.com/a/AATXAJxw4rwLeRjq05kdhGd111xHwb_3gcyS2dhz6A=s88-c-k-c0xffffffff-no-rj-mo")</f>
        <v>https://yt3.ggpht.com/a/AATXAJxw4rwLeRjq05kdhGd111xHwb_3gcyS2dhz6A=s88-c-k-c0xffffffff-no-rj-mo</v>
      </c>
      <c r="G92" s="125"/>
      <c r="H92" s="71" t="s">
        <v>1160</v>
      </c>
      <c r="I92" s="72"/>
      <c r="J92" s="126" t="s">
        <v>75</v>
      </c>
      <c r="K92" s="71" t="s">
        <v>1160</v>
      </c>
      <c r="L92" s="127">
        <v>239.04761904761904</v>
      </c>
      <c r="M92" s="76">
        <v>9776.3046875</v>
      </c>
      <c r="N92" s="76">
        <v>303.1485900878906</v>
      </c>
      <c r="O92" s="77"/>
      <c r="P92" s="78"/>
      <c r="Q92" s="78"/>
      <c r="R92" s="128"/>
      <c r="S92" s="48">
        <v>1</v>
      </c>
      <c r="T92" s="48">
        <v>1</v>
      </c>
      <c r="U92" s="49">
        <v>66.474565</v>
      </c>
      <c r="V92" s="49">
        <v>0.003509</v>
      </c>
      <c r="W92" s="49">
        <v>0.012772</v>
      </c>
      <c r="X92" s="49">
        <v>0.674378</v>
      </c>
      <c r="Y92" s="49">
        <v>0</v>
      </c>
      <c r="Z92" s="49">
        <v>0</v>
      </c>
      <c r="AA92" s="73">
        <v>92</v>
      </c>
      <c r="AB92" s="73"/>
      <c r="AC92" s="74"/>
      <c r="AD92" s="90" t="s">
        <v>1160</v>
      </c>
      <c r="AE92" s="90"/>
      <c r="AF92" s="90"/>
      <c r="AG92" s="90"/>
      <c r="AH92" s="90"/>
      <c r="AI92" s="90"/>
      <c r="AJ92" s="96">
        <v>40939.863958333335</v>
      </c>
      <c r="AK92" s="93" t="str">
        <f>HYPERLINK("https://yt3.ggpht.com/a/AATXAJxw4rwLeRjq05kdhGd111xHwb_3gcyS2dhz6A=s88-c-k-c0xffffffff-no-rj-mo")</f>
        <v>https://yt3.ggpht.com/a/AATXAJxw4rwLeRjq05kdhGd111xHwb_3gcyS2dhz6A=s88-c-k-c0xffffffff-no-rj-mo</v>
      </c>
      <c r="AL92" s="90">
        <v>0</v>
      </c>
      <c r="AM92" s="90">
        <v>0</v>
      </c>
      <c r="AN92" s="90">
        <v>1</v>
      </c>
      <c r="AO92" s="90" t="b">
        <v>0</v>
      </c>
      <c r="AP92" s="90">
        <v>0</v>
      </c>
      <c r="AQ92" s="90"/>
      <c r="AR92" s="90"/>
      <c r="AS92" s="90" t="s">
        <v>341</v>
      </c>
      <c r="AT92" s="93" t="str">
        <f>HYPERLINK("https://www.youtube.com/channel/UCGbqK5PmhLSKcoWF3ugyfIA")</f>
        <v>https://www.youtube.com/channel/UCGbqK5PmhLSKcoWF3ugyfIA</v>
      </c>
      <c r="AU92" s="89" t="str">
        <f>REPLACE(INDEX(GroupVertices[Group],MATCH(Vertices[[#This Row],[Vertex]],GroupVertices[Vertex],0)),1,1,"")</f>
        <v>9</v>
      </c>
      <c r="AV92" s="48">
        <v>0</v>
      </c>
      <c r="AW92" s="49">
        <v>0</v>
      </c>
      <c r="AX92" s="48">
        <v>1</v>
      </c>
      <c r="AY92" s="49">
        <v>3.7037037037037037</v>
      </c>
      <c r="AZ92" s="48">
        <v>0</v>
      </c>
      <c r="BA92" s="49">
        <v>0</v>
      </c>
      <c r="BB92" s="48">
        <v>26</v>
      </c>
      <c r="BC92" s="49">
        <v>96.29629629629629</v>
      </c>
      <c r="BD92" s="48">
        <v>27</v>
      </c>
      <c r="BE92" s="48"/>
      <c r="BF92" s="48"/>
      <c r="BG92" s="48"/>
      <c r="BH92" s="48"/>
      <c r="BI92" s="48"/>
      <c r="BJ92" s="48"/>
      <c r="BK92" s="48" t="s">
        <v>1347</v>
      </c>
      <c r="BL92" s="48" t="s">
        <v>1347</v>
      </c>
      <c r="BM92" s="119" t="s">
        <v>1476</v>
      </c>
      <c r="BN92" s="119" t="s">
        <v>1476</v>
      </c>
      <c r="BO92" s="119" t="s">
        <v>1594</v>
      </c>
      <c r="BP92" s="119" t="s">
        <v>1594</v>
      </c>
      <c r="BQ92" s="2"/>
      <c r="BR92" s="3"/>
      <c r="BS92" s="3"/>
      <c r="BT92" s="3"/>
      <c r="BU92" s="3"/>
    </row>
    <row r="93" spans="1:73" ht="15">
      <c r="A93" s="66" t="s">
        <v>854</v>
      </c>
      <c r="B93" s="67"/>
      <c r="C93" s="67"/>
      <c r="D93" s="68">
        <v>360</v>
      </c>
      <c r="E93" s="124"/>
      <c r="F93" s="98" t="str">
        <f>HYPERLINK("https://yt3.ggpht.com/a/AATXAJxnl43ywb-0KFd5G4jSa7ZP4BBuOWamWFcUGg=s88-c-k-c0xffffffff-no-rj-mo")</f>
        <v>https://yt3.ggpht.com/a/AATXAJxnl43ywb-0KFd5G4jSa7ZP4BBuOWamWFcUGg=s88-c-k-c0xffffffff-no-rj-mo</v>
      </c>
      <c r="G93" s="125"/>
      <c r="H93" s="71" t="s">
        <v>1161</v>
      </c>
      <c r="I93" s="72"/>
      <c r="J93" s="126" t="s">
        <v>75</v>
      </c>
      <c r="K93" s="71" t="s">
        <v>1161</v>
      </c>
      <c r="L93" s="127">
        <v>239.04761904761904</v>
      </c>
      <c r="M93" s="76">
        <v>5355.734375</v>
      </c>
      <c r="N93" s="76">
        <v>7715.34228515625</v>
      </c>
      <c r="O93" s="77"/>
      <c r="P93" s="78"/>
      <c r="Q93" s="78"/>
      <c r="R93" s="128"/>
      <c r="S93" s="48">
        <v>1</v>
      </c>
      <c r="T93" s="48">
        <v>1</v>
      </c>
      <c r="U93" s="49">
        <v>10.689784</v>
      </c>
      <c r="V93" s="49">
        <v>0.003509</v>
      </c>
      <c r="W93" s="49">
        <v>0.015657</v>
      </c>
      <c r="X93" s="49">
        <v>0.65553</v>
      </c>
      <c r="Y93" s="49">
        <v>0</v>
      </c>
      <c r="Z93" s="49">
        <v>0</v>
      </c>
      <c r="AA93" s="73">
        <v>93</v>
      </c>
      <c r="AB93" s="73"/>
      <c r="AC93" s="74"/>
      <c r="AD93" s="90" t="s">
        <v>1161</v>
      </c>
      <c r="AE93" s="90" t="s">
        <v>1245</v>
      </c>
      <c r="AF93" s="90"/>
      <c r="AG93" s="90"/>
      <c r="AH93" s="90"/>
      <c r="AI93" s="90"/>
      <c r="AJ93" s="96">
        <v>41295.83734953704</v>
      </c>
      <c r="AK93" s="93" t="str">
        <f>HYPERLINK("https://yt3.ggpht.com/a/AATXAJxnl43ywb-0KFd5G4jSa7ZP4BBuOWamWFcUGg=s88-c-k-c0xffffffff-no-rj-mo")</f>
        <v>https://yt3.ggpht.com/a/AATXAJxnl43ywb-0KFd5G4jSa7ZP4BBuOWamWFcUGg=s88-c-k-c0xffffffff-no-rj-mo</v>
      </c>
      <c r="AL93" s="90">
        <v>0</v>
      </c>
      <c r="AM93" s="90">
        <v>0</v>
      </c>
      <c r="AN93" s="90">
        <v>0</v>
      </c>
      <c r="AO93" s="90" t="b">
        <v>0</v>
      </c>
      <c r="AP93" s="90">
        <v>0</v>
      </c>
      <c r="AQ93" s="90"/>
      <c r="AR93" s="90"/>
      <c r="AS93" s="90" t="s">
        <v>341</v>
      </c>
      <c r="AT93" s="93" t="str">
        <f>HYPERLINK("https://www.youtube.com/channel/UCpQ5hf5rc5V2YImTM7sRCyg")</f>
        <v>https://www.youtube.com/channel/UCpQ5hf5rc5V2YImTM7sRCyg</v>
      </c>
      <c r="AU93" s="89" t="str">
        <f>REPLACE(INDEX(GroupVertices[Group],MATCH(Vertices[[#This Row],[Vertex]],GroupVertices[Vertex],0)),1,1,"")</f>
        <v>3</v>
      </c>
      <c r="AV93" s="48">
        <v>2</v>
      </c>
      <c r="AW93" s="49">
        <v>6.451612903225806</v>
      </c>
      <c r="AX93" s="48">
        <v>0</v>
      </c>
      <c r="AY93" s="49">
        <v>0</v>
      </c>
      <c r="AZ93" s="48">
        <v>0</v>
      </c>
      <c r="BA93" s="49">
        <v>0</v>
      </c>
      <c r="BB93" s="48">
        <v>29</v>
      </c>
      <c r="BC93" s="49">
        <v>93.54838709677419</v>
      </c>
      <c r="BD93" s="48">
        <v>31</v>
      </c>
      <c r="BE93" s="48"/>
      <c r="BF93" s="48"/>
      <c r="BG93" s="48"/>
      <c r="BH93" s="48"/>
      <c r="BI93" s="48"/>
      <c r="BJ93" s="48"/>
      <c r="BK93" s="48" t="s">
        <v>1347</v>
      </c>
      <c r="BL93" s="48" t="s">
        <v>1347</v>
      </c>
      <c r="BM93" s="119" t="s">
        <v>1477</v>
      </c>
      <c r="BN93" s="119" t="s">
        <v>1477</v>
      </c>
      <c r="BO93" s="119" t="s">
        <v>1595</v>
      </c>
      <c r="BP93" s="119" t="s">
        <v>1595</v>
      </c>
      <c r="BQ93" s="2"/>
      <c r="BR93" s="3"/>
      <c r="BS93" s="3"/>
      <c r="BT93" s="3"/>
      <c r="BU93" s="3"/>
    </row>
    <row r="94" spans="1:73" ht="15">
      <c r="A94" s="66" t="s">
        <v>855</v>
      </c>
      <c r="B94" s="67"/>
      <c r="C94" s="67"/>
      <c r="D94" s="68">
        <v>360</v>
      </c>
      <c r="E94" s="124"/>
      <c r="F94" s="98" t="str">
        <f>HYPERLINK("https://yt3.ggpht.com/a/AATXAJznJ5SbI7K9vpZ2Frzx-QxdbwCX_SiXfjFw0B8GkQ=s88-c-k-c0xffffffff-no-rj-mo")</f>
        <v>https://yt3.ggpht.com/a/AATXAJznJ5SbI7K9vpZ2Frzx-QxdbwCX_SiXfjFw0B8GkQ=s88-c-k-c0xffffffff-no-rj-mo</v>
      </c>
      <c r="G94" s="125"/>
      <c r="H94" s="71" t="s">
        <v>1162</v>
      </c>
      <c r="I94" s="72"/>
      <c r="J94" s="126" t="s">
        <v>75</v>
      </c>
      <c r="K94" s="71" t="s">
        <v>1162</v>
      </c>
      <c r="L94" s="127">
        <v>239.04761904761904</v>
      </c>
      <c r="M94" s="76">
        <v>7055.01416015625</v>
      </c>
      <c r="N94" s="76">
        <v>8773.27734375</v>
      </c>
      <c r="O94" s="77"/>
      <c r="P94" s="78"/>
      <c r="Q94" s="78"/>
      <c r="R94" s="128"/>
      <c r="S94" s="48">
        <v>1</v>
      </c>
      <c r="T94" s="48">
        <v>1</v>
      </c>
      <c r="U94" s="49">
        <v>10.689784</v>
      </c>
      <c r="V94" s="49">
        <v>0.003509</v>
      </c>
      <c r="W94" s="49">
        <v>0.015657</v>
      </c>
      <c r="X94" s="49">
        <v>0.65553</v>
      </c>
      <c r="Y94" s="49">
        <v>0</v>
      </c>
      <c r="Z94" s="49">
        <v>0</v>
      </c>
      <c r="AA94" s="73">
        <v>94</v>
      </c>
      <c r="AB94" s="73"/>
      <c r="AC94" s="74"/>
      <c r="AD94" s="90" t="s">
        <v>1162</v>
      </c>
      <c r="AE94" s="90"/>
      <c r="AF94" s="90"/>
      <c r="AG94" s="90"/>
      <c r="AH94" s="90"/>
      <c r="AI94" s="90"/>
      <c r="AJ94" s="96">
        <v>40917.003854166665</v>
      </c>
      <c r="AK94" s="93" t="str">
        <f>HYPERLINK("https://yt3.ggpht.com/a/AATXAJznJ5SbI7K9vpZ2Frzx-QxdbwCX_SiXfjFw0B8GkQ=s88-c-k-c0xffffffff-no-rj-mo")</f>
        <v>https://yt3.ggpht.com/a/AATXAJznJ5SbI7K9vpZ2Frzx-QxdbwCX_SiXfjFw0B8GkQ=s88-c-k-c0xffffffff-no-rj-mo</v>
      </c>
      <c r="AL94" s="90">
        <v>984</v>
      </c>
      <c r="AM94" s="90">
        <v>0</v>
      </c>
      <c r="AN94" s="90">
        <v>12</v>
      </c>
      <c r="AO94" s="90" t="b">
        <v>0</v>
      </c>
      <c r="AP94" s="90">
        <v>24</v>
      </c>
      <c r="AQ94" s="90"/>
      <c r="AR94" s="90"/>
      <c r="AS94" s="90" t="s">
        <v>341</v>
      </c>
      <c r="AT94" s="93" t="str">
        <f>HYPERLINK("https://www.youtube.com/channel/UC-ZYElr8s4DUq_mV-54LYww")</f>
        <v>https://www.youtube.com/channel/UC-ZYElr8s4DUq_mV-54LYww</v>
      </c>
      <c r="AU94" s="89" t="str">
        <f>REPLACE(INDEX(GroupVertices[Group],MATCH(Vertices[[#This Row],[Vertex]],GroupVertices[Vertex],0)),1,1,"")</f>
        <v>3</v>
      </c>
      <c r="AV94" s="48">
        <v>1</v>
      </c>
      <c r="AW94" s="49">
        <v>1.5625</v>
      </c>
      <c r="AX94" s="48">
        <v>1</v>
      </c>
      <c r="AY94" s="49">
        <v>1.5625</v>
      </c>
      <c r="AZ94" s="48">
        <v>0</v>
      </c>
      <c r="BA94" s="49">
        <v>0</v>
      </c>
      <c r="BB94" s="48">
        <v>62</v>
      </c>
      <c r="BC94" s="49">
        <v>96.875</v>
      </c>
      <c r="BD94" s="48">
        <v>64</v>
      </c>
      <c r="BE94" s="48"/>
      <c r="BF94" s="48"/>
      <c r="BG94" s="48"/>
      <c r="BH94" s="48"/>
      <c r="BI94" s="48"/>
      <c r="BJ94" s="48"/>
      <c r="BK94" s="48" t="s">
        <v>1347</v>
      </c>
      <c r="BL94" s="48" t="s">
        <v>1347</v>
      </c>
      <c r="BM94" s="119" t="s">
        <v>1478</v>
      </c>
      <c r="BN94" s="119" t="s">
        <v>1478</v>
      </c>
      <c r="BO94" s="119" t="s">
        <v>1596</v>
      </c>
      <c r="BP94" s="119" t="s">
        <v>1596</v>
      </c>
      <c r="BQ94" s="2"/>
      <c r="BR94" s="3"/>
      <c r="BS94" s="3"/>
      <c r="BT94" s="3"/>
      <c r="BU94" s="3"/>
    </row>
    <row r="95" spans="1:73" ht="15">
      <c r="A95" s="66" t="s">
        <v>856</v>
      </c>
      <c r="B95" s="67"/>
      <c r="C95" s="67"/>
      <c r="D95" s="68">
        <v>200</v>
      </c>
      <c r="E95" s="124"/>
      <c r="F95" s="98" t="str">
        <f>HYPERLINK("https://yt3.ggpht.com/a/AATXAJxCJu8Dqi-kAQynLO0EPyx1Vz8NXP5esVuAgA=s88-c-k-c0xffffffff-no-rj-mo")</f>
        <v>https://yt3.ggpht.com/a/AATXAJxCJu8Dqi-kAQynLO0EPyx1Vz8NXP5esVuAgA=s88-c-k-c0xffffffff-no-rj-mo</v>
      </c>
      <c r="G95" s="125"/>
      <c r="H95" s="71" t="s">
        <v>1163</v>
      </c>
      <c r="I95" s="72"/>
      <c r="J95" s="126" t="s">
        <v>159</v>
      </c>
      <c r="K95" s="71" t="s">
        <v>1163</v>
      </c>
      <c r="L95" s="127">
        <v>1</v>
      </c>
      <c r="M95" s="76">
        <v>2605.419921875</v>
      </c>
      <c r="N95" s="76">
        <v>3731.949462890625</v>
      </c>
      <c r="O95" s="77"/>
      <c r="P95" s="78"/>
      <c r="Q95" s="78"/>
      <c r="R95" s="128"/>
      <c r="S95" s="48">
        <v>0</v>
      </c>
      <c r="T95" s="48">
        <v>1</v>
      </c>
      <c r="U95" s="49">
        <v>0</v>
      </c>
      <c r="V95" s="49">
        <v>0.002538</v>
      </c>
      <c r="W95" s="49">
        <v>0.001633</v>
      </c>
      <c r="X95" s="49">
        <v>0.500973</v>
      </c>
      <c r="Y95" s="49">
        <v>0</v>
      </c>
      <c r="Z95" s="49">
        <v>0</v>
      </c>
      <c r="AA95" s="73">
        <v>95</v>
      </c>
      <c r="AB95" s="73"/>
      <c r="AC95" s="74"/>
      <c r="AD95" s="90" t="s">
        <v>1163</v>
      </c>
      <c r="AE95" s="90"/>
      <c r="AF95" s="90"/>
      <c r="AG95" s="90"/>
      <c r="AH95" s="90"/>
      <c r="AI95" s="90"/>
      <c r="AJ95" s="96">
        <v>40718.14981481482</v>
      </c>
      <c r="AK95" s="93" t="str">
        <f>HYPERLINK("https://yt3.ggpht.com/a/AATXAJxCJu8Dqi-kAQynLO0EPyx1Vz8NXP5esVuAgA=s88-c-k-c0xffffffff-no-rj-mo")</f>
        <v>https://yt3.ggpht.com/a/AATXAJxCJu8Dqi-kAQynLO0EPyx1Vz8NXP5esVuAgA=s88-c-k-c0xffffffff-no-rj-mo</v>
      </c>
      <c r="AL95" s="90">
        <v>0</v>
      </c>
      <c r="AM95" s="90">
        <v>0</v>
      </c>
      <c r="AN95" s="90">
        <v>5</v>
      </c>
      <c r="AO95" s="90" t="b">
        <v>0</v>
      </c>
      <c r="AP95" s="90">
        <v>0</v>
      </c>
      <c r="AQ95" s="90"/>
      <c r="AR95" s="90"/>
      <c r="AS95" s="90" t="s">
        <v>341</v>
      </c>
      <c r="AT95" s="93" t="str">
        <f>HYPERLINK("https://www.youtube.com/channel/UCUmvDtvYGtWn0X68wy2MXWQ")</f>
        <v>https://www.youtube.com/channel/UCUmvDtvYGtWn0X68wy2MXWQ</v>
      </c>
      <c r="AU95" s="89" t="str">
        <f>REPLACE(INDEX(GroupVertices[Group],MATCH(Vertices[[#This Row],[Vertex]],GroupVertices[Vertex],0)),1,1,"")</f>
        <v>1</v>
      </c>
      <c r="AV95" s="48">
        <v>0</v>
      </c>
      <c r="AW95" s="49">
        <v>0</v>
      </c>
      <c r="AX95" s="48">
        <v>1</v>
      </c>
      <c r="AY95" s="49">
        <v>6.25</v>
      </c>
      <c r="AZ95" s="48">
        <v>0</v>
      </c>
      <c r="BA95" s="49">
        <v>0</v>
      </c>
      <c r="BB95" s="48">
        <v>15</v>
      </c>
      <c r="BC95" s="49">
        <v>93.75</v>
      </c>
      <c r="BD95" s="48">
        <v>16</v>
      </c>
      <c r="BE95" s="48"/>
      <c r="BF95" s="48"/>
      <c r="BG95" s="48"/>
      <c r="BH95" s="48"/>
      <c r="BI95" s="48"/>
      <c r="BJ95" s="48"/>
      <c r="BK95" s="48" t="s">
        <v>1347</v>
      </c>
      <c r="BL95" s="48" t="s">
        <v>1347</v>
      </c>
      <c r="BM95" s="119" t="s">
        <v>1479</v>
      </c>
      <c r="BN95" s="119" t="s">
        <v>1479</v>
      </c>
      <c r="BO95" s="119" t="s">
        <v>1597</v>
      </c>
      <c r="BP95" s="119" t="s">
        <v>1597</v>
      </c>
      <c r="BQ95" s="2"/>
      <c r="BR95" s="3"/>
      <c r="BS95" s="3"/>
      <c r="BT95" s="3"/>
      <c r="BU95" s="3"/>
    </row>
    <row r="96" spans="1:73" ht="15">
      <c r="A96" s="66" t="s">
        <v>857</v>
      </c>
      <c r="B96" s="67"/>
      <c r="C96" s="67"/>
      <c r="D96" s="68">
        <v>360</v>
      </c>
      <c r="E96" s="124"/>
      <c r="F96" s="98" t="str">
        <f>HYPERLINK("https://yt3.ggpht.com/a/AATXAJzwhcRibp3VGpa0TODl4f2x9yQpXOuYfNeITA=s88-c-k-c0xffffffff-no-rj-mo")</f>
        <v>https://yt3.ggpht.com/a/AATXAJzwhcRibp3VGpa0TODl4f2x9yQpXOuYfNeITA=s88-c-k-c0xffffffff-no-rj-mo</v>
      </c>
      <c r="G96" s="125"/>
      <c r="H96" s="71" t="s">
        <v>1164</v>
      </c>
      <c r="I96" s="72"/>
      <c r="J96" s="126" t="s">
        <v>75</v>
      </c>
      <c r="K96" s="71" t="s">
        <v>1164</v>
      </c>
      <c r="L96" s="127">
        <v>239.04761904761904</v>
      </c>
      <c r="M96" s="76">
        <v>2303.08642578125</v>
      </c>
      <c r="N96" s="76">
        <v>5347.12109375</v>
      </c>
      <c r="O96" s="77"/>
      <c r="P96" s="78"/>
      <c r="Q96" s="78"/>
      <c r="R96" s="128"/>
      <c r="S96" s="48">
        <v>1</v>
      </c>
      <c r="T96" s="48">
        <v>1</v>
      </c>
      <c r="U96" s="49">
        <v>218</v>
      </c>
      <c r="V96" s="49">
        <v>0.003509</v>
      </c>
      <c r="W96" s="49">
        <v>0.012221</v>
      </c>
      <c r="X96" s="49">
        <v>0.825821</v>
      </c>
      <c r="Y96" s="49">
        <v>0</v>
      </c>
      <c r="Z96" s="49">
        <v>0</v>
      </c>
      <c r="AA96" s="73">
        <v>96</v>
      </c>
      <c r="AB96" s="73"/>
      <c r="AC96" s="74"/>
      <c r="AD96" s="90" t="s">
        <v>1164</v>
      </c>
      <c r="AE96" s="90"/>
      <c r="AF96" s="90"/>
      <c r="AG96" s="90"/>
      <c r="AH96" s="90"/>
      <c r="AI96" s="90"/>
      <c r="AJ96" s="96">
        <v>42142.102534722224</v>
      </c>
      <c r="AK96" s="93" t="str">
        <f>HYPERLINK("https://yt3.ggpht.com/a/AATXAJzwhcRibp3VGpa0TODl4f2x9yQpXOuYfNeITA=s88-c-k-c0xffffffff-no-rj-mo")</f>
        <v>https://yt3.ggpht.com/a/AATXAJzwhcRibp3VGpa0TODl4f2x9yQpXOuYfNeITA=s88-c-k-c0xffffffff-no-rj-mo</v>
      </c>
      <c r="AL96" s="90">
        <v>0</v>
      </c>
      <c r="AM96" s="90">
        <v>0</v>
      </c>
      <c r="AN96" s="90">
        <v>1</v>
      </c>
      <c r="AO96" s="90" t="b">
        <v>0</v>
      </c>
      <c r="AP96" s="90">
        <v>0</v>
      </c>
      <c r="AQ96" s="90"/>
      <c r="AR96" s="90"/>
      <c r="AS96" s="90" t="s">
        <v>341</v>
      </c>
      <c r="AT96" s="93" t="str">
        <f>HYPERLINK("https://www.youtube.com/channel/UCLcw5E_aZNmI37wPN1zBNow")</f>
        <v>https://www.youtube.com/channel/UCLcw5E_aZNmI37wPN1zBNow</v>
      </c>
      <c r="AU96" s="89" t="str">
        <f>REPLACE(INDEX(GroupVertices[Group],MATCH(Vertices[[#This Row],[Vertex]],GroupVertices[Vertex],0)),1,1,"")</f>
        <v>1</v>
      </c>
      <c r="AV96" s="48">
        <v>0</v>
      </c>
      <c r="AW96" s="49">
        <v>0</v>
      </c>
      <c r="AX96" s="48">
        <v>0</v>
      </c>
      <c r="AY96" s="49">
        <v>0</v>
      </c>
      <c r="AZ96" s="48">
        <v>0</v>
      </c>
      <c r="BA96" s="49">
        <v>0</v>
      </c>
      <c r="BB96" s="48">
        <v>20</v>
      </c>
      <c r="BC96" s="49">
        <v>100</v>
      </c>
      <c r="BD96" s="48">
        <v>20</v>
      </c>
      <c r="BE96" s="48"/>
      <c r="BF96" s="48"/>
      <c r="BG96" s="48"/>
      <c r="BH96" s="48"/>
      <c r="BI96" s="48"/>
      <c r="BJ96" s="48"/>
      <c r="BK96" s="48" t="s">
        <v>1347</v>
      </c>
      <c r="BL96" s="48" t="s">
        <v>1347</v>
      </c>
      <c r="BM96" s="119" t="s">
        <v>1480</v>
      </c>
      <c r="BN96" s="119" t="s">
        <v>1480</v>
      </c>
      <c r="BO96" s="119" t="s">
        <v>1598</v>
      </c>
      <c r="BP96" s="119" t="s">
        <v>1598</v>
      </c>
      <c r="BQ96" s="2"/>
      <c r="BR96" s="3"/>
      <c r="BS96" s="3"/>
      <c r="BT96" s="3"/>
      <c r="BU96" s="3"/>
    </row>
    <row r="97" spans="1:73" ht="15">
      <c r="A97" s="66" t="s">
        <v>858</v>
      </c>
      <c r="B97" s="67"/>
      <c r="C97" s="67"/>
      <c r="D97" s="68">
        <v>200</v>
      </c>
      <c r="E97" s="124"/>
      <c r="F97" s="98" t="str">
        <f>HYPERLINK("https://yt3.ggpht.com/a/AATXAJzDviLoEMrTlOH7IznTrWRUwE37JpAk4FCElGOt=s88-c-k-c0xffffffff-no-rj-mo")</f>
        <v>https://yt3.ggpht.com/a/AATXAJzDviLoEMrTlOH7IznTrWRUwE37JpAk4FCElGOt=s88-c-k-c0xffffffff-no-rj-mo</v>
      </c>
      <c r="G97" s="125"/>
      <c r="H97" s="71" t="s">
        <v>1165</v>
      </c>
      <c r="I97" s="72"/>
      <c r="J97" s="126" t="s">
        <v>159</v>
      </c>
      <c r="K97" s="71" t="s">
        <v>1165</v>
      </c>
      <c r="L97" s="127">
        <v>1</v>
      </c>
      <c r="M97" s="76">
        <v>6941.98095703125</v>
      </c>
      <c r="N97" s="76">
        <v>5286.17724609375</v>
      </c>
      <c r="O97" s="77"/>
      <c r="P97" s="78"/>
      <c r="Q97" s="78"/>
      <c r="R97" s="128"/>
      <c r="S97" s="48">
        <v>0</v>
      </c>
      <c r="T97" s="48">
        <v>1</v>
      </c>
      <c r="U97" s="49">
        <v>0</v>
      </c>
      <c r="V97" s="49">
        <v>0.002639</v>
      </c>
      <c r="W97" s="49">
        <v>0.00285</v>
      </c>
      <c r="X97" s="49">
        <v>0.42323</v>
      </c>
      <c r="Y97" s="49">
        <v>0</v>
      </c>
      <c r="Z97" s="49">
        <v>0</v>
      </c>
      <c r="AA97" s="73">
        <v>97</v>
      </c>
      <c r="AB97" s="73"/>
      <c r="AC97" s="74"/>
      <c r="AD97" s="90" t="s">
        <v>1165</v>
      </c>
      <c r="AE97" s="90"/>
      <c r="AF97" s="90"/>
      <c r="AG97" s="90"/>
      <c r="AH97" s="90"/>
      <c r="AI97" s="90"/>
      <c r="AJ97" s="96">
        <v>42895.158321759256</v>
      </c>
      <c r="AK97" s="93" t="str">
        <f>HYPERLINK("https://yt3.ggpht.com/a/AATXAJzDviLoEMrTlOH7IznTrWRUwE37JpAk4FCElGOt=s88-c-k-c0xffffffff-no-rj-mo")</f>
        <v>https://yt3.ggpht.com/a/AATXAJzDviLoEMrTlOH7IznTrWRUwE37JpAk4FCElGOt=s88-c-k-c0xffffffff-no-rj-mo</v>
      </c>
      <c r="AL97" s="90">
        <v>0</v>
      </c>
      <c r="AM97" s="90">
        <v>0</v>
      </c>
      <c r="AN97" s="90">
        <v>0</v>
      </c>
      <c r="AO97" s="90" t="b">
        <v>0</v>
      </c>
      <c r="AP97" s="90">
        <v>0</v>
      </c>
      <c r="AQ97" s="90"/>
      <c r="AR97" s="90"/>
      <c r="AS97" s="90" t="s">
        <v>341</v>
      </c>
      <c r="AT97" s="93" t="str">
        <f>HYPERLINK("https://www.youtube.com/channel/UCNYSaKXoIywTrmguWATCGdg")</f>
        <v>https://www.youtube.com/channel/UCNYSaKXoIywTrmguWATCGdg</v>
      </c>
      <c r="AU97" s="89" t="str">
        <f>REPLACE(INDEX(GroupVertices[Group],MATCH(Vertices[[#This Row],[Vertex]],GroupVertices[Vertex],0)),1,1,"")</f>
        <v>6</v>
      </c>
      <c r="AV97" s="48">
        <v>0</v>
      </c>
      <c r="AW97" s="49">
        <v>0</v>
      </c>
      <c r="AX97" s="48">
        <v>0</v>
      </c>
      <c r="AY97" s="49">
        <v>0</v>
      </c>
      <c r="AZ97" s="48">
        <v>0</v>
      </c>
      <c r="BA97" s="49">
        <v>0</v>
      </c>
      <c r="BB97" s="48">
        <v>13</v>
      </c>
      <c r="BC97" s="49">
        <v>100</v>
      </c>
      <c r="BD97" s="48">
        <v>13</v>
      </c>
      <c r="BE97" s="48"/>
      <c r="BF97" s="48"/>
      <c r="BG97" s="48"/>
      <c r="BH97" s="48"/>
      <c r="BI97" s="48"/>
      <c r="BJ97" s="48"/>
      <c r="BK97" s="48" t="s">
        <v>1347</v>
      </c>
      <c r="BL97" s="48" t="s">
        <v>1347</v>
      </c>
      <c r="BM97" s="119" t="s">
        <v>1481</v>
      </c>
      <c r="BN97" s="119" t="s">
        <v>1481</v>
      </c>
      <c r="BO97" s="119" t="s">
        <v>1599</v>
      </c>
      <c r="BP97" s="119" t="s">
        <v>1599</v>
      </c>
      <c r="BQ97" s="2"/>
      <c r="BR97" s="3"/>
      <c r="BS97" s="3"/>
      <c r="BT97" s="3"/>
      <c r="BU97" s="3"/>
    </row>
    <row r="98" spans="1:73" ht="15">
      <c r="A98" s="66" t="s">
        <v>859</v>
      </c>
      <c r="B98" s="67"/>
      <c r="C98" s="67"/>
      <c r="D98" s="68">
        <v>200</v>
      </c>
      <c r="E98" s="124"/>
      <c r="F98" s="98" t="str">
        <f>HYPERLINK("https://yt3.ggpht.com/a/AATXAJwzWbNeBxjgEfRAV7guKSebj3yUAJySFfxG6A=s88-c-k-c0xffffffff-no-rj-mo")</f>
        <v>https://yt3.ggpht.com/a/AATXAJwzWbNeBxjgEfRAV7guKSebj3yUAJySFfxG6A=s88-c-k-c0xffffffff-no-rj-mo</v>
      </c>
      <c r="G98" s="125"/>
      <c r="H98" s="71" t="s">
        <v>1166</v>
      </c>
      <c r="I98" s="72"/>
      <c r="J98" s="126" t="s">
        <v>159</v>
      </c>
      <c r="K98" s="71" t="s">
        <v>1166</v>
      </c>
      <c r="L98" s="127">
        <v>1</v>
      </c>
      <c r="M98" s="76">
        <v>179.3875732421875</v>
      </c>
      <c r="N98" s="76">
        <v>5783.79248046875</v>
      </c>
      <c r="O98" s="77"/>
      <c r="P98" s="78"/>
      <c r="Q98" s="78"/>
      <c r="R98" s="128"/>
      <c r="S98" s="48">
        <v>0</v>
      </c>
      <c r="T98" s="48">
        <v>1</v>
      </c>
      <c r="U98" s="49">
        <v>0</v>
      </c>
      <c r="V98" s="49">
        <v>0.002538</v>
      </c>
      <c r="W98" s="49">
        <v>0.001633</v>
      </c>
      <c r="X98" s="49">
        <v>0.500973</v>
      </c>
      <c r="Y98" s="49">
        <v>0</v>
      </c>
      <c r="Z98" s="49">
        <v>0</v>
      </c>
      <c r="AA98" s="73">
        <v>98</v>
      </c>
      <c r="AB98" s="73"/>
      <c r="AC98" s="74"/>
      <c r="AD98" s="90" t="s">
        <v>1166</v>
      </c>
      <c r="AE98" s="90"/>
      <c r="AF98" s="90"/>
      <c r="AG98" s="90"/>
      <c r="AH98" s="90"/>
      <c r="AI98" s="90"/>
      <c r="AJ98" s="96">
        <v>42714.669490740744</v>
      </c>
      <c r="AK98" s="93" t="str">
        <f>HYPERLINK("https://yt3.ggpht.com/a/AATXAJwzWbNeBxjgEfRAV7guKSebj3yUAJySFfxG6A=s88-c-k-c0xffffffff-no-rj-mo")</f>
        <v>https://yt3.ggpht.com/a/AATXAJwzWbNeBxjgEfRAV7guKSebj3yUAJySFfxG6A=s88-c-k-c0xffffffff-no-rj-mo</v>
      </c>
      <c r="AL98" s="90">
        <v>0</v>
      </c>
      <c r="AM98" s="90">
        <v>0</v>
      </c>
      <c r="AN98" s="90">
        <v>23</v>
      </c>
      <c r="AO98" s="90" t="b">
        <v>0</v>
      </c>
      <c r="AP98" s="90">
        <v>0</v>
      </c>
      <c r="AQ98" s="90"/>
      <c r="AR98" s="90"/>
      <c r="AS98" s="90" t="s">
        <v>341</v>
      </c>
      <c r="AT98" s="93" t="str">
        <f>HYPERLINK("https://www.youtube.com/channel/UCHDhEYbvt58VoB_EmmoGKzQ")</f>
        <v>https://www.youtube.com/channel/UCHDhEYbvt58VoB_EmmoGKzQ</v>
      </c>
      <c r="AU98" s="89" t="str">
        <f>REPLACE(INDEX(GroupVertices[Group],MATCH(Vertices[[#This Row],[Vertex]],GroupVertices[Vertex],0)),1,1,"")</f>
        <v>1</v>
      </c>
      <c r="AV98" s="48">
        <v>2</v>
      </c>
      <c r="AW98" s="49">
        <v>9.090909090909092</v>
      </c>
      <c r="AX98" s="48">
        <v>1</v>
      </c>
      <c r="AY98" s="49">
        <v>4.545454545454546</v>
      </c>
      <c r="AZ98" s="48">
        <v>0</v>
      </c>
      <c r="BA98" s="49">
        <v>0</v>
      </c>
      <c r="BB98" s="48">
        <v>19</v>
      </c>
      <c r="BC98" s="49">
        <v>86.36363636363636</v>
      </c>
      <c r="BD98" s="48">
        <v>22</v>
      </c>
      <c r="BE98" s="48"/>
      <c r="BF98" s="48"/>
      <c r="BG98" s="48"/>
      <c r="BH98" s="48"/>
      <c r="BI98" s="48"/>
      <c r="BJ98" s="48"/>
      <c r="BK98" s="48" t="s">
        <v>1347</v>
      </c>
      <c r="BL98" s="48" t="s">
        <v>1347</v>
      </c>
      <c r="BM98" s="119" t="s">
        <v>1482</v>
      </c>
      <c r="BN98" s="119" t="s">
        <v>1482</v>
      </c>
      <c r="BO98" s="119" t="s">
        <v>1600</v>
      </c>
      <c r="BP98" s="119" t="s">
        <v>1600</v>
      </c>
      <c r="BQ98" s="2"/>
      <c r="BR98" s="3"/>
      <c r="BS98" s="3"/>
      <c r="BT98" s="3"/>
      <c r="BU98" s="3"/>
    </row>
    <row r="99" spans="1:73" ht="15">
      <c r="A99" s="66" t="s">
        <v>860</v>
      </c>
      <c r="B99" s="67"/>
      <c r="C99" s="67"/>
      <c r="D99" s="68">
        <v>360</v>
      </c>
      <c r="E99" s="124"/>
      <c r="F99" s="98" t="str">
        <f>HYPERLINK("https://yt3.ggpht.com/a/AATXAJwPx1kpUVkUrQbKOMBjRyEft0RRCDJRNpiTXg=s88-c-k-c0xffffffff-no-rj-mo")</f>
        <v>https://yt3.ggpht.com/a/AATXAJwPx1kpUVkUrQbKOMBjRyEft0RRCDJRNpiTXg=s88-c-k-c0xffffffff-no-rj-mo</v>
      </c>
      <c r="G99" s="125"/>
      <c r="H99" s="71" t="s">
        <v>1167</v>
      </c>
      <c r="I99" s="72"/>
      <c r="J99" s="126" t="s">
        <v>75</v>
      </c>
      <c r="K99" s="71" t="s">
        <v>1167</v>
      </c>
      <c r="L99" s="127">
        <v>239.04761904761904</v>
      </c>
      <c r="M99" s="76">
        <v>1131.42431640625</v>
      </c>
      <c r="N99" s="76">
        <v>6319.21044921875</v>
      </c>
      <c r="O99" s="77"/>
      <c r="P99" s="78"/>
      <c r="Q99" s="78"/>
      <c r="R99" s="128"/>
      <c r="S99" s="48">
        <v>1</v>
      </c>
      <c r="T99" s="48">
        <v>1</v>
      </c>
      <c r="U99" s="49">
        <v>218</v>
      </c>
      <c r="V99" s="49">
        <v>0.003509</v>
      </c>
      <c r="W99" s="49">
        <v>0.012221</v>
      </c>
      <c r="X99" s="49">
        <v>0.825821</v>
      </c>
      <c r="Y99" s="49">
        <v>0</v>
      </c>
      <c r="Z99" s="49">
        <v>0</v>
      </c>
      <c r="AA99" s="73">
        <v>99</v>
      </c>
      <c r="AB99" s="73"/>
      <c r="AC99" s="74"/>
      <c r="AD99" s="90" t="s">
        <v>1167</v>
      </c>
      <c r="AE99" s="90"/>
      <c r="AF99" s="90"/>
      <c r="AG99" s="90"/>
      <c r="AH99" s="90"/>
      <c r="AI99" s="90"/>
      <c r="AJ99" s="96">
        <v>39593.12185185185</v>
      </c>
      <c r="AK99" s="93" t="str">
        <f>HYPERLINK("https://yt3.ggpht.com/a/AATXAJwPx1kpUVkUrQbKOMBjRyEft0RRCDJRNpiTXg=s88-c-k-c0xffffffff-no-rj-mo")</f>
        <v>https://yt3.ggpht.com/a/AATXAJwPx1kpUVkUrQbKOMBjRyEft0RRCDJRNpiTXg=s88-c-k-c0xffffffff-no-rj-mo</v>
      </c>
      <c r="AL99" s="90">
        <v>0</v>
      </c>
      <c r="AM99" s="90">
        <v>0</v>
      </c>
      <c r="AN99" s="90">
        <v>17</v>
      </c>
      <c r="AO99" s="90" t="b">
        <v>0</v>
      </c>
      <c r="AP99" s="90">
        <v>0</v>
      </c>
      <c r="AQ99" s="90"/>
      <c r="AR99" s="90"/>
      <c r="AS99" s="90" t="s">
        <v>341</v>
      </c>
      <c r="AT99" s="93" t="str">
        <f>HYPERLINK("https://www.youtube.com/channel/UCOxR2xzgccf-z4Xknns1q9g")</f>
        <v>https://www.youtube.com/channel/UCOxR2xzgccf-z4Xknns1q9g</v>
      </c>
      <c r="AU99" s="89" t="str">
        <f>REPLACE(INDEX(GroupVertices[Group],MATCH(Vertices[[#This Row],[Vertex]],GroupVertices[Vertex],0)),1,1,"")</f>
        <v>1</v>
      </c>
      <c r="AV99" s="48">
        <v>1</v>
      </c>
      <c r="AW99" s="49">
        <v>6.25</v>
      </c>
      <c r="AX99" s="48">
        <v>0</v>
      </c>
      <c r="AY99" s="49">
        <v>0</v>
      </c>
      <c r="AZ99" s="48">
        <v>0</v>
      </c>
      <c r="BA99" s="49">
        <v>0</v>
      </c>
      <c r="BB99" s="48">
        <v>15</v>
      </c>
      <c r="BC99" s="49">
        <v>93.75</v>
      </c>
      <c r="BD99" s="48">
        <v>16</v>
      </c>
      <c r="BE99" s="48"/>
      <c r="BF99" s="48"/>
      <c r="BG99" s="48"/>
      <c r="BH99" s="48"/>
      <c r="BI99" s="48"/>
      <c r="BJ99" s="48"/>
      <c r="BK99" s="48" t="s">
        <v>1347</v>
      </c>
      <c r="BL99" s="48" t="s">
        <v>1347</v>
      </c>
      <c r="BM99" s="119" t="s">
        <v>1483</v>
      </c>
      <c r="BN99" s="119" t="s">
        <v>1483</v>
      </c>
      <c r="BO99" s="119" t="s">
        <v>1601</v>
      </c>
      <c r="BP99" s="119" t="s">
        <v>1601</v>
      </c>
      <c r="BQ99" s="2"/>
      <c r="BR99" s="3"/>
      <c r="BS99" s="3"/>
      <c r="BT99" s="3"/>
      <c r="BU99" s="3"/>
    </row>
    <row r="100" spans="1:73" ht="15">
      <c r="A100" s="66" t="s">
        <v>862</v>
      </c>
      <c r="B100" s="67"/>
      <c r="C100" s="67"/>
      <c r="D100" s="68">
        <v>840</v>
      </c>
      <c r="E100" s="124"/>
      <c r="F100" s="98" t="str">
        <f>HYPERLINK("https://yt3.ggpht.com/a/AATXAJxZO69rvc0xrAdaDecktUSKcOYR6gENOyFMD5tvEQ=s88-c-k-c0xffffffff-no-rj-mo")</f>
        <v>https://yt3.ggpht.com/a/AATXAJxZO69rvc0xrAdaDecktUSKcOYR6gENOyFMD5tvEQ=s88-c-k-c0xffffffff-no-rj-mo</v>
      </c>
      <c r="G100" s="125"/>
      <c r="H100" s="71" t="s">
        <v>1169</v>
      </c>
      <c r="I100" s="72"/>
      <c r="J100" s="126" t="s">
        <v>75</v>
      </c>
      <c r="K100" s="71" t="s">
        <v>1169</v>
      </c>
      <c r="L100" s="127">
        <v>953.1904761904761</v>
      </c>
      <c r="M100" s="76">
        <v>1916.2667236328125</v>
      </c>
      <c r="N100" s="76">
        <v>2726.14697265625</v>
      </c>
      <c r="O100" s="77"/>
      <c r="P100" s="78"/>
      <c r="Q100" s="78"/>
      <c r="R100" s="128"/>
      <c r="S100" s="48">
        <v>4</v>
      </c>
      <c r="T100" s="48">
        <v>1</v>
      </c>
      <c r="U100" s="49">
        <v>366.245127</v>
      </c>
      <c r="V100" s="49">
        <v>0.003584</v>
      </c>
      <c r="W100" s="49">
        <v>0.015891</v>
      </c>
      <c r="X100" s="49">
        <v>1.532493</v>
      </c>
      <c r="Y100" s="49">
        <v>0</v>
      </c>
      <c r="Z100" s="49">
        <v>0</v>
      </c>
      <c r="AA100" s="73">
        <v>100</v>
      </c>
      <c r="AB100" s="73"/>
      <c r="AC100" s="74"/>
      <c r="AD100" s="90" t="s">
        <v>1169</v>
      </c>
      <c r="AE100" s="90"/>
      <c r="AF100" s="90"/>
      <c r="AG100" s="90"/>
      <c r="AH100" s="90"/>
      <c r="AI100" s="90"/>
      <c r="AJ100" s="96">
        <v>43106.16018518519</v>
      </c>
      <c r="AK100" s="93" t="str">
        <f>HYPERLINK("https://yt3.ggpht.com/a/AATXAJxZO69rvc0xrAdaDecktUSKcOYR6gENOyFMD5tvEQ=s88-c-k-c0xffffffff-no-rj-mo")</f>
        <v>https://yt3.ggpht.com/a/AATXAJxZO69rvc0xrAdaDecktUSKcOYR6gENOyFMD5tvEQ=s88-c-k-c0xffffffff-no-rj-mo</v>
      </c>
      <c r="AL100" s="90">
        <v>3635</v>
      </c>
      <c r="AM100" s="90">
        <v>0</v>
      </c>
      <c r="AN100" s="90">
        <v>37</v>
      </c>
      <c r="AO100" s="90" t="b">
        <v>0</v>
      </c>
      <c r="AP100" s="90">
        <v>7</v>
      </c>
      <c r="AQ100" s="90"/>
      <c r="AR100" s="90"/>
      <c r="AS100" s="90" t="s">
        <v>341</v>
      </c>
      <c r="AT100" s="93" t="str">
        <f>HYPERLINK("https://www.youtube.com/channel/UCiGuh8-uiYsSgzL7Vro6EUg")</f>
        <v>https://www.youtube.com/channel/UCiGuh8-uiYsSgzL7Vro6EUg</v>
      </c>
      <c r="AU100" s="89" t="str">
        <f>REPLACE(INDEX(GroupVertices[Group],MATCH(Vertices[[#This Row],[Vertex]],GroupVertices[Vertex],0)),1,1,"")</f>
        <v>2</v>
      </c>
      <c r="AV100" s="48">
        <v>2</v>
      </c>
      <c r="AW100" s="49">
        <v>2</v>
      </c>
      <c r="AX100" s="48">
        <v>1</v>
      </c>
      <c r="AY100" s="49">
        <v>1</v>
      </c>
      <c r="AZ100" s="48">
        <v>0</v>
      </c>
      <c r="BA100" s="49">
        <v>0</v>
      </c>
      <c r="BB100" s="48">
        <v>97</v>
      </c>
      <c r="BC100" s="49">
        <v>97</v>
      </c>
      <c r="BD100" s="48">
        <v>100</v>
      </c>
      <c r="BE100" s="48"/>
      <c r="BF100" s="48"/>
      <c r="BG100" s="48"/>
      <c r="BH100" s="48"/>
      <c r="BI100" s="48"/>
      <c r="BJ100" s="48"/>
      <c r="BK100" s="48" t="s">
        <v>1347</v>
      </c>
      <c r="BL100" s="48" t="s">
        <v>1347</v>
      </c>
      <c r="BM100" s="119" t="s">
        <v>1484</v>
      </c>
      <c r="BN100" s="119" t="s">
        <v>1484</v>
      </c>
      <c r="BO100" s="119" t="s">
        <v>1602</v>
      </c>
      <c r="BP100" s="119" t="s">
        <v>1602</v>
      </c>
      <c r="BQ100" s="2"/>
      <c r="BR100" s="3"/>
      <c r="BS100" s="3"/>
      <c r="BT100" s="3"/>
      <c r="BU100" s="3"/>
    </row>
    <row r="101" spans="1:73" ht="15">
      <c r="A101" s="66" t="s">
        <v>861</v>
      </c>
      <c r="B101" s="67"/>
      <c r="C101" s="67"/>
      <c r="D101" s="68">
        <v>200</v>
      </c>
      <c r="E101" s="124"/>
      <c r="F101" s="98" t="str">
        <f>HYPERLINK("https://yt3.ggpht.com/a/AATXAJyOu78Dsuo1ViJkLtfOw90AY2K4mdHcl08kWB6s4A=s88-c-k-c0xffffffff-no-rj-mo")</f>
        <v>https://yt3.ggpht.com/a/AATXAJyOu78Dsuo1ViJkLtfOw90AY2K4mdHcl08kWB6s4A=s88-c-k-c0xffffffff-no-rj-mo</v>
      </c>
      <c r="G101" s="125"/>
      <c r="H101" s="71" t="s">
        <v>1168</v>
      </c>
      <c r="I101" s="72"/>
      <c r="J101" s="126" t="s">
        <v>159</v>
      </c>
      <c r="K101" s="71" t="s">
        <v>1168</v>
      </c>
      <c r="L101" s="127">
        <v>1</v>
      </c>
      <c r="M101" s="76">
        <v>1672.177734375</v>
      </c>
      <c r="N101" s="76">
        <v>3583.45654296875</v>
      </c>
      <c r="O101" s="77"/>
      <c r="P101" s="78"/>
      <c r="Q101" s="78"/>
      <c r="R101" s="128"/>
      <c r="S101" s="48">
        <v>0</v>
      </c>
      <c r="T101" s="48">
        <v>1</v>
      </c>
      <c r="U101" s="49">
        <v>0</v>
      </c>
      <c r="V101" s="49">
        <v>0.002577</v>
      </c>
      <c r="W101" s="49">
        <v>0.002124</v>
      </c>
      <c r="X101" s="49">
        <v>0.410524</v>
      </c>
      <c r="Y101" s="49">
        <v>0</v>
      </c>
      <c r="Z101" s="49">
        <v>0</v>
      </c>
      <c r="AA101" s="73">
        <v>101</v>
      </c>
      <c r="AB101" s="73"/>
      <c r="AC101" s="74"/>
      <c r="AD101" s="90" t="s">
        <v>1168</v>
      </c>
      <c r="AE101" s="90"/>
      <c r="AF101" s="90"/>
      <c r="AG101" s="90"/>
      <c r="AH101" s="90"/>
      <c r="AI101" s="90"/>
      <c r="AJ101" s="96">
        <v>42117.359085648146</v>
      </c>
      <c r="AK101" s="93" t="str">
        <f>HYPERLINK("https://yt3.ggpht.com/a/AATXAJyOu78Dsuo1ViJkLtfOw90AY2K4mdHcl08kWB6s4A=s88-c-k-c0xffffffff-no-rj-mo")</f>
        <v>https://yt3.ggpht.com/a/AATXAJyOu78Dsuo1ViJkLtfOw90AY2K4mdHcl08kWB6s4A=s88-c-k-c0xffffffff-no-rj-mo</v>
      </c>
      <c r="AL101" s="90">
        <v>0</v>
      </c>
      <c r="AM101" s="90">
        <v>0</v>
      </c>
      <c r="AN101" s="90">
        <v>3</v>
      </c>
      <c r="AO101" s="90" t="b">
        <v>0</v>
      </c>
      <c r="AP101" s="90">
        <v>0</v>
      </c>
      <c r="AQ101" s="90"/>
      <c r="AR101" s="90"/>
      <c r="AS101" s="90" t="s">
        <v>341</v>
      </c>
      <c r="AT101" s="93" t="str">
        <f>HYPERLINK("https://www.youtube.com/channel/UCTHYHmZPeIxA-AlMNciltmg")</f>
        <v>https://www.youtube.com/channel/UCTHYHmZPeIxA-AlMNciltmg</v>
      </c>
      <c r="AU101" s="89" t="str">
        <f>REPLACE(INDEX(GroupVertices[Group],MATCH(Vertices[[#This Row],[Vertex]],GroupVertices[Vertex],0)),1,1,"")</f>
        <v>2</v>
      </c>
      <c r="AV101" s="48">
        <v>0</v>
      </c>
      <c r="AW101" s="49">
        <v>0</v>
      </c>
      <c r="AX101" s="48">
        <v>0</v>
      </c>
      <c r="AY101" s="49">
        <v>0</v>
      </c>
      <c r="AZ101" s="48">
        <v>0</v>
      </c>
      <c r="BA101" s="49">
        <v>0</v>
      </c>
      <c r="BB101" s="48">
        <v>10</v>
      </c>
      <c r="BC101" s="49">
        <v>100</v>
      </c>
      <c r="BD101" s="48">
        <v>10</v>
      </c>
      <c r="BE101" s="48"/>
      <c r="BF101" s="48"/>
      <c r="BG101" s="48"/>
      <c r="BH101" s="48"/>
      <c r="BI101" s="48"/>
      <c r="BJ101" s="48"/>
      <c r="BK101" s="48" t="s">
        <v>1347</v>
      </c>
      <c r="BL101" s="48" t="s">
        <v>1347</v>
      </c>
      <c r="BM101" s="119" t="s">
        <v>1485</v>
      </c>
      <c r="BN101" s="119" t="s">
        <v>1485</v>
      </c>
      <c r="BO101" s="119" t="s">
        <v>1603</v>
      </c>
      <c r="BP101" s="119" t="s">
        <v>1603</v>
      </c>
      <c r="BQ101" s="2"/>
      <c r="BR101" s="3"/>
      <c r="BS101" s="3"/>
      <c r="BT101" s="3"/>
      <c r="BU101" s="3"/>
    </row>
    <row r="102" spans="1:73" ht="15">
      <c r="A102" s="66" t="s">
        <v>864</v>
      </c>
      <c r="B102" s="67"/>
      <c r="C102" s="67"/>
      <c r="D102" s="68">
        <v>680</v>
      </c>
      <c r="E102" s="124"/>
      <c r="F102" s="98" t="str">
        <f>HYPERLINK("https://yt3.ggpht.com/a/AATXAJwDCdwO-razYsYRL0YqrJIBeUmdFdOa0SuzyQ=s88-c-k-c0xffffffff-no-rj-mo")</f>
        <v>https://yt3.ggpht.com/a/AATXAJwDCdwO-razYsYRL0YqrJIBeUmdFdOa0SuzyQ=s88-c-k-c0xffffffff-no-rj-mo</v>
      </c>
      <c r="G102" s="125"/>
      <c r="H102" s="71" t="s">
        <v>1171</v>
      </c>
      <c r="I102" s="72"/>
      <c r="J102" s="126" t="s">
        <v>75</v>
      </c>
      <c r="K102" s="71" t="s">
        <v>1171</v>
      </c>
      <c r="L102" s="127">
        <v>715.1428571428571</v>
      </c>
      <c r="M102" s="76">
        <v>6293.7265625</v>
      </c>
      <c r="N102" s="76">
        <v>4313.43212890625</v>
      </c>
      <c r="O102" s="77"/>
      <c r="P102" s="78"/>
      <c r="Q102" s="78"/>
      <c r="R102" s="128"/>
      <c r="S102" s="48">
        <v>3</v>
      </c>
      <c r="T102" s="48">
        <v>2</v>
      </c>
      <c r="U102" s="49">
        <v>261.102953</v>
      </c>
      <c r="V102" s="49">
        <v>0.003534</v>
      </c>
      <c r="W102" s="49">
        <v>0.015562</v>
      </c>
      <c r="X102" s="49">
        <v>1.302933</v>
      </c>
      <c r="Y102" s="49">
        <v>0</v>
      </c>
      <c r="Z102" s="49">
        <v>0</v>
      </c>
      <c r="AA102" s="73">
        <v>102</v>
      </c>
      <c r="AB102" s="73"/>
      <c r="AC102" s="74"/>
      <c r="AD102" s="90" t="s">
        <v>1171</v>
      </c>
      <c r="AE102" s="90"/>
      <c r="AF102" s="90"/>
      <c r="AG102" s="90"/>
      <c r="AH102" s="90"/>
      <c r="AI102" s="90"/>
      <c r="AJ102" s="96">
        <v>42993.022199074076</v>
      </c>
      <c r="AK102" s="93" t="str">
        <f>HYPERLINK("https://yt3.ggpht.com/a/AATXAJwDCdwO-razYsYRL0YqrJIBeUmdFdOa0SuzyQ=s88-c-k-c0xffffffff-no-rj-mo")</f>
        <v>https://yt3.ggpht.com/a/AATXAJwDCdwO-razYsYRL0YqrJIBeUmdFdOa0SuzyQ=s88-c-k-c0xffffffff-no-rj-mo</v>
      </c>
      <c r="AL102" s="90">
        <v>0</v>
      </c>
      <c r="AM102" s="90">
        <v>0</v>
      </c>
      <c r="AN102" s="90">
        <v>0</v>
      </c>
      <c r="AO102" s="90" t="b">
        <v>0</v>
      </c>
      <c r="AP102" s="90">
        <v>0</v>
      </c>
      <c r="AQ102" s="90"/>
      <c r="AR102" s="90"/>
      <c r="AS102" s="90" t="s">
        <v>341</v>
      </c>
      <c r="AT102" s="93" t="str">
        <f>HYPERLINK("https://www.youtube.com/channel/UCMOnVaVjpGTfnRXkGyE1mGw")</f>
        <v>https://www.youtube.com/channel/UCMOnVaVjpGTfnRXkGyE1mGw</v>
      </c>
      <c r="AU102" s="89" t="str">
        <f>REPLACE(INDEX(GroupVertices[Group],MATCH(Vertices[[#This Row],[Vertex]],GroupVertices[Vertex],0)),1,1,"")</f>
        <v>4</v>
      </c>
      <c r="AV102" s="48">
        <v>4</v>
      </c>
      <c r="AW102" s="49">
        <v>2.4691358024691357</v>
      </c>
      <c r="AX102" s="48">
        <v>7</v>
      </c>
      <c r="AY102" s="49">
        <v>4.320987654320987</v>
      </c>
      <c r="AZ102" s="48">
        <v>0</v>
      </c>
      <c r="BA102" s="49">
        <v>0</v>
      </c>
      <c r="BB102" s="48">
        <v>151</v>
      </c>
      <c r="BC102" s="49">
        <v>93.20987654320987</v>
      </c>
      <c r="BD102" s="48">
        <v>162</v>
      </c>
      <c r="BE102" s="48"/>
      <c r="BF102" s="48"/>
      <c r="BG102" s="48"/>
      <c r="BH102" s="48"/>
      <c r="BI102" s="48"/>
      <c r="BJ102" s="48"/>
      <c r="BK102" s="48" t="s">
        <v>1347</v>
      </c>
      <c r="BL102" s="48" t="s">
        <v>1347</v>
      </c>
      <c r="BM102" s="119" t="s">
        <v>1486</v>
      </c>
      <c r="BN102" s="119" t="s">
        <v>1509</v>
      </c>
      <c r="BO102" s="119" t="s">
        <v>1604</v>
      </c>
      <c r="BP102" s="119" t="s">
        <v>1604</v>
      </c>
      <c r="BQ102" s="2"/>
      <c r="BR102" s="3"/>
      <c r="BS102" s="3"/>
      <c r="BT102" s="3"/>
      <c r="BU102" s="3"/>
    </row>
    <row r="103" spans="1:73" ht="15">
      <c r="A103" s="66" t="s">
        <v>863</v>
      </c>
      <c r="B103" s="67"/>
      <c r="C103" s="67"/>
      <c r="D103" s="68">
        <v>200</v>
      </c>
      <c r="E103" s="124"/>
      <c r="F103" s="98" t="str">
        <f>HYPERLINK("https://yt3.ggpht.com/a/AATXAJyrvx1mW7iyIdb4cl5cf0-hqHW1xwTwmHFG=s88-c-k-c0xffffffff-no-rj-mo")</f>
        <v>https://yt3.ggpht.com/a/AATXAJyrvx1mW7iyIdb4cl5cf0-hqHW1xwTwmHFG=s88-c-k-c0xffffffff-no-rj-mo</v>
      </c>
      <c r="G103" s="125"/>
      <c r="H103" s="71" t="s">
        <v>1170</v>
      </c>
      <c r="I103" s="72"/>
      <c r="J103" s="126" t="s">
        <v>159</v>
      </c>
      <c r="K103" s="71" t="s">
        <v>1170</v>
      </c>
      <c r="L103" s="127">
        <v>1</v>
      </c>
      <c r="M103" s="76">
        <v>6835.83447265625</v>
      </c>
      <c r="N103" s="76">
        <v>4077.89599609375</v>
      </c>
      <c r="O103" s="77"/>
      <c r="P103" s="78"/>
      <c r="Q103" s="78"/>
      <c r="R103" s="128"/>
      <c r="S103" s="48">
        <v>0</v>
      </c>
      <c r="T103" s="48">
        <v>1</v>
      </c>
      <c r="U103" s="49">
        <v>0</v>
      </c>
      <c r="V103" s="49">
        <v>0.002551</v>
      </c>
      <c r="W103" s="49">
        <v>0.00208</v>
      </c>
      <c r="X103" s="49">
        <v>0.426873</v>
      </c>
      <c r="Y103" s="49">
        <v>0</v>
      </c>
      <c r="Z103" s="49">
        <v>0</v>
      </c>
      <c r="AA103" s="73">
        <v>103</v>
      </c>
      <c r="AB103" s="73"/>
      <c r="AC103" s="74"/>
      <c r="AD103" s="90" t="s">
        <v>1170</v>
      </c>
      <c r="AE103" s="90"/>
      <c r="AF103" s="90"/>
      <c r="AG103" s="90"/>
      <c r="AH103" s="90"/>
      <c r="AI103" s="90"/>
      <c r="AJ103" s="96">
        <v>42650.62587962963</v>
      </c>
      <c r="AK103" s="93" t="str">
        <f>HYPERLINK("https://yt3.ggpht.com/a/AATXAJyrvx1mW7iyIdb4cl5cf0-hqHW1xwTwmHFG=s88-c-k-c0xffffffff-no-rj-mo")</f>
        <v>https://yt3.ggpht.com/a/AATXAJyrvx1mW7iyIdb4cl5cf0-hqHW1xwTwmHFG=s88-c-k-c0xffffffff-no-rj-mo</v>
      </c>
      <c r="AL103" s="90">
        <v>0</v>
      </c>
      <c r="AM103" s="90">
        <v>0</v>
      </c>
      <c r="AN103" s="90">
        <v>0</v>
      </c>
      <c r="AO103" s="90" t="b">
        <v>0</v>
      </c>
      <c r="AP103" s="90">
        <v>0</v>
      </c>
      <c r="AQ103" s="90"/>
      <c r="AR103" s="90"/>
      <c r="AS103" s="90" t="s">
        <v>341</v>
      </c>
      <c r="AT103" s="93" t="str">
        <f>HYPERLINK("https://www.youtube.com/channel/UCcTqVddA3x4PKTyY7nAuUqQ")</f>
        <v>https://www.youtube.com/channel/UCcTqVddA3x4PKTyY7nAuUqQ</v>
      </c>
      <c r="AU103" s="89" t="str">
        <f>REPLACE(INDEX(GroupVertices[Group],MATCH(Vertices[[#This Row],[Vertex]],GroupVertices[Vertex],0)),1,1,"")</f>
        <v>4</v>
      </c>
      <c r="AV103" s="48">
        <v>2</v>
      </c>
      <c r="AW103" s="49">
        <v>3.0303030303030303</v>
      </c>
      <c r="AX103" s="48">
        <v>2</v>
      </c>
      <c r="AY103" s="49">
        <v>3.0303030303030303</v>
      </c>
      <c r="AZ103" s="48">
        <v>0</v>
      </c>
      <c r="BA103" s="49">
        <v>0</v>
      </c>
      <c r="BB103" s="48">
        <v>62</v>
      </c>
      <c r="BC103" s="49">
        <v>93.93939393939394</v>
      </c>
      <c r="BD103" s="48">
        <v>66</v>
      </c>
      <c r="BE103" s="48"/>
      <c r="BF103" s="48"/>
      <c r="BG103" s="48"/>
      <c r="BH103" s="48"/>
      <c r="BI103" s="48"/>
      <c r="BJ103" s="48"/>
      <c r="BK103" s="48" t="s">
        <v>1347</v>
      </c>
      <c r="BL103" s="48" t="s">
        <v>1347</v>
      </c>
      <c r="BM103" s="119" t="s">
        <v>1487</v>
      </c>
      <c r="BN103" s="119" t="s">
        <v>1487</v>
      </c>
      <c r="BO103" s="119" t="s">
        <v>1605</v>
      </c>
      <c r="BP103" s="119" t="s">
        <v>1605</v>
      </c>
      <c r="BQ103" s="2"/>
      <c r="BR103" s="3"/>
      <c r="BS103" s="3"/>
      <c r="BT103" s="3"/>
      <c r="BU103" s="3"/>
    </row>
    <row r="104" spans="1:73" ht="15">
      <c r="A104" s="66" t="s">
        <v>865</v>
      </c>
      <c r="B104" s="67"/>
      <c r="C104" s="67"/>
      <c r="D104" s="68">
        <v>200</v>
      </c>
      <c r="E104" s="124"/>
      <c r="F104" s="98" t="str">
        <f>HYPERLINK("https://yt3.ggpht.com/a/AATXAJzulquw-u3AwndzNmYVO0nv-1K4-TBlffZlyw=s88-c-k-c0xffffffff-no-rj-mo")</f>
        <v>https://yt3.ggpht.com/a/AATXAJzulquw-u3AwndzNmYVO0nv-1K4-TBlffZlyw=s88-c-k-c0xffffffff-no-rj-mo</v>
      </c>
      <c r="G104" s="125"/>
      <c r="H104" s="71" t="s">
        <v>1172</v>
      </c>
      <c r="I104" s="72"/>
      <c r="J104" s="126" t="s">
        <v>159</v>
      </c>
      <c r="K104" s="71" t="s">
        <v>1172</v>
      </c>
      <c r="L104" s="127">
        <v>1</v>
      </c>
      <c r="M104" s="76">
        <v>3452.438232421875</v>
      </c>
      <c r="N104" s="76">
        <v>4619.65576171875</v>
      </c>
      <c r="O104" s="77"/>
      <c r="P104" s="78"/>
      <c r="Q104" s="78"/>
      <c r="R104" s="128"/>
      <c r="S104" s="48">
        <v>0</v>
      </c>
      <c r="T104" s="48">
        <v>1</v>
      </c>
      <c r="U104" s="49">
        <v>0</v>
      </c>
      <c r="V104" s="49">
        <v>0.002538</v>
      </c>
      <c r="W104" s="49">
        <v>0.001633</v>
      </c>
      <c r="X104" s="49">
        <v>0.500973</v>
      </c>
      <c r="Y104" s="49">
        <v>0</v>
      </c>
      <c r="Z104" s="49">
        <v>0</v>
      </c>
      <c r="AA104" s="73">
        <v>104</v>
      </c>
      <c r="AB104" s="73"/>
      <c r="AC104" s="74"/>
      <c r="AD104" s="90" t="s">
        <v>1172</v>
      </c>
      <c r="AE104" s="90"/>
      <c r="AF104" s="90"/>
      <c r="AG104" s="90"/>
      <c r="AH104" s="90"/>
      <c r="AI104" s="90"/>
      <c r="AJ104" s="96">
        <v>43497.952523148146</v>
      </c>
      <c r="AK104" s="93" t="str">
        <f>HYPERLINK("https://yt3.ggpht.com/a/AATXAJzulquw-u3AwndzNmYVO0nv-1K4-TBlffZlyw=s88-c-k-c0xffffffff-no-rj-mo")</f>
        <v>https://yt3.ggpht.com/a/AATXAJzulquw-u3AwndzNmYVO0nv-1K4-TBlffZlyw=s88-c-k-c0xffffffff-no-rj-mo</v>
      </c>
      <c r="AL104" s="90">
        <v>0</v>
      </c>
      <c r="AM104" s="90">
        <v>0</v>
      </c>
      <c r="AN104" s="90">
        <v>17</v>
      </c>
      <c r="AO104" s="90" t="b">
        <v>0</v>
      </c>
      <c r="AP104" s="90">
        <v>0</v>
      </c>
      <c r="AQ104" s="90"/>
      <c r="AR104" s="90"/>
      <c r="AS104" s="90" t="s">
        <v>341</v>
      </c>
      <c r="AT104" s="93" t="str">
        <f>HYPERLINK("https://www.youtube.com/channel/UCpQAwMfpP9MISSUuRRIxA0A")</f>
        <v>https://www.youtube.com/channel/UCpQAwMfpP9MISSUuRRIxA0A</v>
      </c>
      <c r="AU104" s="89" t="str">
        <f>REPLACE(INDEX(GroupVertices[Group],MATCH(Vertices[[#This Row],[Vertex]],GroupVertices[Vertex],0)),1,1,"")</f>
        <v>1</v>
      </c>
      <c r="AV104" s="48">
        <v>1</v>
      </c>
      <c r="AW104" s="49">
        <v>50</v>
      </c>
      <c r="AX104" s="48">
        <v>0</v>
      </c>
      <c r="AY104" s="49">
        <v>0</v>
      </c>
      <c r="AZ104" s="48">
        <v>0</v>
      </c>
      <c r="BA104" s="49">
        <v>0</v>
      </c>
      <c r="BB104" s="48">
        <v>1</v>
      </c>
      <c r="BC104" s="49">
        <v>50</v>
      </c>
      <c r="BD104" s="48">
        <v>2</v>
      </c>
      <c r="BE104" s="48"/>
      <c r="BF104" s="48"/>
      <c r="BG104" s="48"/>
      <c r="BH104" s="48"/>
      <c r="BI104" s="48"/>
      <c r="BJ104" s="48"/>
      <c r="BK104" s="48" t="s">
        <v>1347</v>
      </c>
      <c r="BL104" s="48" t="s">
        <v>1347</v>
      </c>
      <c r="BM104" s="119" t="s">
        <v>1488</v>
      </c>
      <c r="BN104" s="119" t="s">
        <v>1488</v>
      </c>
      <c r="BO104" s="119" t="s">
        <v>1606</v>
      </c>
      <c r="BP104" s="119" t="s">
        <v>1606</v>
      </c>
      <c r="BQ104" s="2"/>
      <c r="BR104" s="3"/>
      <c r="BS104" s="3"/>
      <c r="BT104" s="3"/>
      <c r="BU104" s="3"/>
    </row>
    <row r="105" spans="1:73" ht="15">
      <c r="A105" s="66" t="s">
        <v>866</v>
      </c>
      <c r="B105" s="67"/>
      <c r="C105" s="67"/>
      <c r="D105" s="68">
        <v>360</v>
      </c>
      <c r="E105" s="124"/>
      <c r="F105" s="98" t="str">
        <f>HYPERLINK("https://yt3.ggpht.com/a/AATXAJyCiWAOg49-LgdBG6z6eqvO_QZNnZy3dxcjZi9JtA=s88-c-k-c0xffffffff-no-rj-mo")</f>
        <v>https://yt3.ggpht.com/a/AATXAJyCiWAOg49-LgdBG6z6eqvO_QZNnZy3dxcjZi9JtA=s88-c-k-c0xffffffff-no-rj-mo</v>
      </c>
      <c r="G105" s="125"/>
      <c r="H105" s="71" t="s">
        <v>1173</v>
      </c>
      <c r="I105" s="72"/>
      <c r="J105" s="126" t="s">
        <v>75</v>
      </c>
      <c r="K105" s="71" t="s">
        <v>1173</v>
      </c>
      <c r="L105" s="127">
        <v>239.04761904761904</v>
      </c>
      <c r="M105" s="76">
        <v>2661.030517578125</v>
      </c>
      <c r="N105" s="76">
        <v>5713.73291015625</v>
      </c>
      <c r="O105" s="77"/>
      <c r="P105" s="78"/>
      <c r="Q105" s="78"/>
      <c r="R105" s="128"/>
      <c r="S105" s="48">
        <v>1</v>
      </c>
      <c r="T105" s="48">
        <v>1</v>
      </c>
      <c r="U105" s="49">
        <v>218</v>
      </c>
      <c r="V105" s="49">
        <v>0.003509</v>
      </c>
      <c r="W105" s="49">
        <v>0.012221</v>
      </c>
      <c r="X105" s="49">
        <v>0.825821</v>
      </c>
      <c r="Y105" s="49">
        <v>0</v>
      </c>
      <c r="Z105" s="49">
        <v>0</v>
      </c>
      <c r="AA105" s="73">
        <v>105</v>
      </c>
      <c r="AB105" s="73"/>
      <c r="AC105" s="74"/>
      <c r="AD105" s="90" t="s">
        <v>1173</v>
      </c>
      <c r="AE105" s="90"/>
      <c r="AF105" s="90"/>
      <c r="AG105" s="90"/>
      <c r="AH105" s="90"/>
      <c r="AI105" s="90"/>
      <c r="AJ105" s="96">
        <v>40848.723275462966</v>
      </c>
      <c r="AK105" s="93" t="str">
        <f>HYPERLINK("https://yt3.ggpht.com/a/AATXAJyCiWAOg49-LgdBG6z6eqvO_QZNnZy3dxcjZi9JtA=s88-c-k-c0xffffffff-no-rj-mo")</f>
        <v>https://yt3.ggpht.com/a/AATXAJyCiWAOg49-LgdBG6z6eqvO_QZNnZy3dxcjZi9JtA=s88-c-k-c0xffffffff-no-rj-mo</v>
      </c>
      <c r="AL105" s="90">
        <v>0</v>
      </c>
      <c r="AM105" s="90">
        <v>0</v>
      </c>
      <c r="AN105" s="90">
        <v>0</v>
      </c>
      <c r="AO105" s="90" t="b">
        <v>0</v>
      </c>
      <c r="AP105" s="90">
        <v>0</v>
      </c>
      <c r="AQ105" s="90"/>
      <c r="AR105" s="90"/>
      <c r="AS105" s="90" t="s">
        <v>341</v>
      </c>
      <c r="AT105" s="93" t="str">
        <f>HYPERLINK("https://www.youtube.com/channel/UCEopbtSohnnWPvLmugfC_4Q")</f>
        <v>https://www.youtube.com/channel/UCEopbtSohnnWPvLmugfC_4Q</v>
      </c>
      <c r="AU105" s="89" t="str">
        <f>REPLACE(INDEX(GroupVertices[Group],MATCH(Vertices[[#This Row],[Vertex]],GroupVertices[Vertex],0)),1,1,"")</f>
        <v>1</v>
      </c>
      <c r="AV105" s="48">
        <v>0</v>
      </c>
      <c r="AW105" s="49">
        <v>0</v>
      </c>
      <c r="AX105" s="48">
        <v>1</v>
      </c>
      <c r="AY105" s="49">
        <v>5.882352941176471</v>
      </c>
      <c r="AZ105" s="48">
        <v>0</v>
      </c>
      <c r="BA105" s="49">
        <v>0</v>
      </c>
      <c r="BB105" s="48">
        <v>16</v>
      </c>
      <c r="BC105" s="49">
        <v>94.11764705882354</v>
      </c>
      <c r="BD105" s="48">
        <v>17</v>
      </c>
      <c r="BE105" s="48"/>
      <c r="BF105" s="48"/>
      <c r="BG105" s="48"/>
      <c r="BH105" s="48"/>
      <c r="BI105" s="48"/>
      <c r="BJ105" s="48"/>
      <c r="BK105" s="48" t="s">
        <v>1347</v>
      </c>
      <c r="BL105" s="48" t="s">
        <v>1347</v>
      </c>
      <c r="BM105" s="119" t="s">
        <v>1489</v>
      </c>
      <c r="BN105" s="119" t="s">
        <v>1489</v>
      </c>
      <c r="BO105" s="119" t="s">
        <v>1607</v>
      </c>
      <c r="BP105" s="119" t="s">
        <v>1607</v>
      </c>
      <c r="BQ105" s="2"/>
      <c r="BR105" s="3"/>
      <c r="BS105" s="3"/>
      <c r="BT105" s="3"/>
      <c r="BU105" s="3"/>
    </row>
    <row r="106" spans="1:73" ht="15">
      <c r="A106" s="66" t="s">
        <v>867</v>
      </c>
      <c r="B106" s="67"/>
      <c r="C106" s="67"/>
      <c r="D106" s="68">
        <v>200</v>
      </c>
      <c r="E106" s="124"/>
      <c r="F106" s="98" t="str">
        <f>HYPERLINK("https://yt3.ggpht.com/a/AATXAJxTrLHpyxEUUt69iWXAazwMrzotTXYSb0W8AQ=s88-c-k-c0xffffffff-no-rj-mo")</f>
        <v>https://yt3.ggpht.com/a/AATXAJxTrLHpyxEUUt69iWXAazwMrzotTXYSb0W8AQ=s88-c-k-c0xffffffff-no-rj-mo</v>
      </c>
      <c r="G106" s="125"/>
      <c r="H106" s="71" t="s">
        <v>1174</v>
      </c>
      <c r="I106" s="72"/>
      <c r="J106" s="126" t="s">
        <v>159</v>
      </c>
      <c r="K106" s="71" t="s">
        <v>1174</v>
      </c>
      <c r="L106" s="127">
        <v>1</v>
      </c>
      <c r="M106" s="76">
        <v>2189.400390625</v>
      </c>
      <c r="N106" s="76">
        <v>9754.8037109375</v>
      </c>
      <c r="O106" s="77"/>
      <c r="P106" s="78"/>
      <c r="Q106" s="78"/>
      <c r="R106" s="128"/>
      <c r="S106" s="48">
        <v>0</v>
      </c>
      <c r="T106" s="48">
        <v>1</v>
      </c>
      <c r="U106" s="49">
        <v>0</v>
      </c>
      <c r="V106" s="49">
        <v>0.002564</v>
      </c>
      <c r="W106" s="49">
        <v>0.00198</v>
      </c>
      <c r="X106" s="49">
        <v>0.456379</v>
      </c>
      <c r="Y106" s="49">
        <v>0</v>
      </c>
      <c r="Z106" s="49">
        <v>0</v>
      </c>
      <c r="AA106" s="73">
        <v>106</v>
      </c>
      <c r="AB106" s="73"/>
      <c r="AC106" s="74"/>
      <c r="AD106" s="90" t="s">
        <v>1174</v>
      </c>
      <c r="AE106" s="90"/>
      <c r="AF106" s="90"/>
      <c r="AG106" s="90"/>
      <c r="AH106" s="90"/>
      <c r="AI106" s="90"/>
      <c r="AJ106" s="96">
        <v>39365.09006944444</v>
      </c>
      <c r="AK106" s="93" t="str">
        <f>HYPERLINK("https://yt3.ggpht.com/a/AATXAJxTrLHpyxEUUt69iWXAazwMrzotTXYSb0W8AQ=s88-c-k-c0xffffffff-no-rj-mo")</f>
        <v>https://yt3.ggpht.com/a/AATXAJxTrLHpyxEUUt69iWXAazwMrzotTXYSb0W8AQ=s88-c-k-c0xffffffff-no-rj-mo</v>
      </c>
      <c r="AL106" s="90">
        <v>0</v>
      </c>
      <c r="AM106" s="90">
        <v>0</v>
      </c>
      <c r="AN106" s="90">
        <v>2</v>
      </c>
      <c r="AO106" s="90" t="b">
        <v>0</v>
      </c>
      <c r="AP106" s="90">
        <v>0</v>
      </c>
      <c r="AQ106" s="90"/>
      <c r="AR106" s="90"/>
      <c r="AS106" s="90" t="s">
        <v>341</v>
      </c>
      <c r="AT106" s="93" t="str">
        <f>HYPERLINK("https://www.youtube.com/channel/UCGnKP41Zozwe387d5CakiMA")</f>
        <v>https://www.youtube.com/channel/UCGnKP41Zozwe387d5CakiMA</v>
      </c>
      <c r="AU106" s="89" t="str">
        <f>REPLACE(INDEX(GroupVertices[Group],MATCH(Vertices[[#This Row],[Vertex]],GroupVertices[Vertex],0)),1,1,"")</f>
        <v>1</v>
      </c>
      <c r="AV106" s="48">
        <v>1</v>
      </c>
      <c r="AW106" s="49">
        <v>2.857142857142857</v>
      </c>
      <c r="AX106" s="48">
        <v>0</v>
      </c>
      <c r="AY106" s="49">
        <v>0</v>
      </c>
      <c r="AZ106" s="48">
        <v>0</v>
      </c>
      <c r="BA106" s="49">
        <v>0</v>
      </c>
      <c r="BB106" s="48">
        <v>34</v>
      </c>
      <c r="BC106" s="49">
        <v>97.14285714285714</v>
      </c>
      <c r="BD106" s="48">
        <v>35</v>
      </c>
      <c r="BE106" s="48"/>
      <c r="BF106" s="48"/>
      <c r="BG106" s="48"/>
      <c r="BH106" s="48"/>
      <c r="BI106" s="48"/>
      <c r="BJ106" s="48"/>
      <c r="BK106" s="48" t="s">
        <v>1347</v>
      </c>
      <c r="BL106" s="48" t="s">
        <v>1347</v>
      </c>
      <c r="BM106" s="119" t="s">
        <v>1490</v>
      </c>
      <c r="BN106" s="119" t="s">
        <v>1490</v>
      </c>
      <c r="BO106" s="119" t="s">
        <v>1608</v>
      </c>
      <c r="BP106" s="119" t="s">
        <v>1608</v>
      </c>
      <c r="BQ106" s="2"/>
      <c r="BR106" s="3"/>
      <c r="BS106" s="3"/>
      <c r="BT106" s="3"/>
      <c r="BU106" s="3"/>
    </row>
    <row r="107" spans="1:73" ht="15">
      <c r="A107" s="66" t="s">
        <v>869</v>
      </c>
      <c r="B107" s="67"/>
      <c r="C107" s="67"/>
      <c r="D107" s="68">
        <v>680</v>
      </c>
      <c r="E107" s="124"/>
      <c r="F107" s="98" t="str">
        <f>HYPERLINK("https://yt3.ggpht.com/a/AATXAJymUfSR4XtsvgkAmAIFyCnxOondZz9l2P2IHg=s88-c-k-c0xffffffff-no-rj-mo")</f>
        <v>https://yt3.ggpht.com/a/AATXAJymUfSR4XtsvgkAmAIFyCnxOondZz9l2P2IHg=s88-c-k-c0xffffffff-no-rj-mo</v>
      </c>
      <c r="G107" s="125"/>
      <c r="H107" s="71" t="s">
        <v>1176</v>
      </c>
      <c r="I107" s="72"/>
      <c r="J107" s="126" t="s">
        <v>75</v>
      </c>
      <c r="K107" s="71" t="s">
        <v>1176</v>
      </c>
      <c r="L107" s="127">
        <v>715.1428571428571</v>
      </c>
      <c r="M107" s="76">
        <v>1858.2078857421875</v>
      </c>
      <c r="N107" s="76">
        <v>8350.9833984375</v>
      </c>
      <c r="O107" s="77"/>
      <c r="P107" s="78"/>
      <c r="Q107" s="78"/>
      <c r="R107" s="128"/>
      <c r="S107" s="48">
        <v>3</v>
      </c>
      <c r="T107" s="48">
        <v>1</v>
      </c>
      <c r="U107" s="49">
        <v>434</v>
      </c>
      <c r="V107" s="49">
        <v>0.003559</v>
      </c>
      <c r="W107" s="49">
        <v>0.014813</v>
      </c>
      <c r="X107" s="49">
        <v>1.441785</v>
      </c>
      <c r="Y107" s="49">
        <v>0.08333333333333333</v>
      </c>
      <c r="Z107" s="49">
        <v>0</v>
      </c>
      <c r="AA107" s="73">
        <v>107</v>
      </c>
      <c r="AB107" s="73"/>
      <c r="AC107" s="74"/>
      <c r="AD107" s="90" t="s">
        <v>1176</v>
      </c>
      <c r="AE107" s="90"/>
      <c r="AF107" s="90"/>
      <c r="AG107" s="90"/>
      <c r="AH107" s="90"/>
      <c r="AI107" s="90"/>
      <c r="AJ107" s="96">
        <v>40038.21181712963</v>
      </c>
      <c r="AK107" s="93" t="str">
        <f>HYPERLINK("https://yt3.ggpht.com/a/AATXAJymUfSR4XtsvgkAmAIFyCnxOondZz9l2P2IHg=s88-c-k-c0xffffffff-no-rj-mo")</f>
        <v>https://yt3.ggpht.com/a/AATXAJymUfSR4XtsvgkAmAIFyCnxOondZz9l2P2IHg=s88-c-k-c0xffffffff-no-rj-mo</v>
      </c>
      <c r="AL107" s="90">
        <v>334330</v>
      </c>
      <c r="AM107" s="90">
        <v>0</v>
      </c>
      <c r="AN107" s="90">
        <v>231</v>
      </c>
      <c r="AO107" s="90" t="b">
        <v>0</v>
      </c>
      <c r="AP107" s="90">
        <v>97</v>
      </c>
      <c r="AQ107" s="90"/>
      <c r="AR107" s="90"/>
      <c r="AS107" s="90" t="s">
        <v>341</v>
      </c>
      <c r="AT107" s="93" t="str">
        <f>HYPERLINK("https://www.youtube.com/channel/UC0kbZ08xIZxYkMw1GaswkTQ")</f>
        <v>https://www.youtube.com/channel/UC0kbZ08xIZxYkMw1GaswkTQ</v>
      </c>
      <c r="AU107" s="89" t="str">
        <f>REPLACE(INDEX(GroupVertices[Group],MATCH(Vertices[[#This Row],[Vertex]],GroupVertices[Vertex],0)),1,1,"")</f>
        <v>1</v>
      </c>
      <c r="AV107" s="48">
        <v>0</v>
      </c>
      <c r="AW107" s="49">
        <v>0</v>
      </c>
      <c r="AX107" s="48">
        <v>0</v>
      </c>
      <c r="AY107" s="49">
        <v>0</v>
      </c>
      <c r="AZ107" s="48">
        <v>0</v>
      </c>
      <c r="BA107" s="49">
        <v>0</v>
      </c>
      <c r="BB107" s="48">
        <v>8</v>
      </c>
      <c r="BC107" s="49">
        <v>100</v>
      </c>
      <c r="BD107" s="48">
        <v>8</v>
      </c>
      <c r="BE107" s="48"/>
      <c r="BF107" s="48"/>
      <c r="BG107" s="48"/>
      <c r="BH107" s="48"/>
      <c r="BI107" s="48"/>
      <c r="BJ107" s="48"/>
      <c r="BK107" s="48" t="s">
        <v>1347</v>
      </c>
      <c r="BL107" s="48" t="s">
        <v>1347</v>
      </c>
      <c r="BM107" s="119" t="s">
        <v>1491</v>
      </c>
      <c r="BN107" s="119" t="s">
        <v>1491</v>
      </c>
      <c r="BO107" s="119" t="s">
        <v>1609</v>
      </c>
      <c r="BP107" s="119" t="s">
        <v>1609</v>
      </c>
      <c r="BQ107" s="2"/>
      <c r="BR107" s="3"/>
      <c r="BS107" s="3"/>
      <c r="BT107" s="3"/>
      <c r="BU107" s="3"/>
    </row>
    <row r="108" spans="1:73" ht="15">
      <c r="A108" s="66" t="s">
        <v>868</v>
      </c>
      <c r="B108" s="67"/>
      <c r="C108" s="67"/>
      <c r="D108" s="68">
        <v>200</v>
      </c>
      <c r="E108" s="124"/>
      <c r="F108" s="98" t="str">
        <f>HYPERLINK("https://yt3.ggpht.com/a/AATXAJx1BDTmwEXmHqscfQiJFIhT5KN9iEQ8iWaCDA=s88-c-k-c0xffffffff-no-rj-mo")</f>
        <v>https://yt3.ggpht.com/a/AATXAJx1BDTmwEXmHqscfQiJFIhT5KN9iEQ8iWaCDA=s88-c-k-c0xffffffff-no-rj-mo</v>
      </c>
      <c r="G108" s="125"/>
      <c r="H108" s="71" t="s">
        <v>1175</v>
      </c>
      <c r="I108" s="72"/>
      <c r="J108" s="126" t="s">
        <v>159</v>
      </c>
      <c r="K108" s="71" t="s">
        <v>1175</v>
      </c>
      <c r="L108" s="127">
        <v>1</v>
      </c>
      <c r="M108" s="76">
        <v>1544.6627197265625</v>
      </c>
      <c r="N108" s="76">
        <v>9733.009765625</v>
      </c>
      <c r="O108" s="77"/>
      <c r="P108" s="78"/>
      <c r="Q108" s="78"/>
      <c r="R108" s="128"/>
      <c r="S108" s="48">
        <v>0</v>
      </c>
      <c r="T108" s="48">
        <v>1</v>
      </c>
      <c r="U108" s="49">
        <v>0</v>
      </c>
      <c r="V108" s="49">
        <v>0.002564</v>
      </c>
      <c r="W108" s="49">
        <v>0.00198</v>
      </c>
      <c r="X108" s="49">
        <v>0.456379</v>
      </c>
      <c r="Y108" s="49">
        <v>0</v>
      </c>
      <c r="Z108" s="49">
        <v>0</v>
      </c>
      <c r="AA108" s="73">
        <v>108</v>
      </c>
      <c r="AB108" s="73"/>
      <c r="AC108" s="74"/>
      <c r="AD108" s="90" t="s">
        <v>1175</v>
      </c>
      <c r="AE108" s="90"/>
      <c r="AF108" s="90"/>
      <c r="AG108" s="90"/>
      <c r="AH108" s="90"/>
      <c r="AI108" s="90"/>
      <c r="AJ108" s="96">
        <v>43205.194699074076</v>
      </c>
      <c r="AK108" s="93" t="str">
        <f>HYPERLINK("https://yt3.ggpht.com/a/AATXAJx1BDTmwEXmHqscfQiJFIhT5KN9iEQ8iWaCDA=s88-c-k-c0xffffffff-no-rj-mo")</f>
        <v>https://yt3.ggpht.com/a/AATXAJx1BDTmwEXmHqscfQiJFIhT5KN9iEQ8iWaCDA=s88-c-k-c0xffffffff-no-rj-mo</v>
      </c>
      <c r="AL108" s="90">
        <v>0</v>
      </c>
      <c r="AM108" s="90">
        <v>0</v>
      </c>
      <c r="AN108" s="90">
        <v>3</v>
      </c>
      <c r="AO108" s="90" t="b">
        <v>0</v>
      </c>
      <c r="AP108" s="90">
        <v>0</v>
      </c>
      <c r="AQ108" s="90"/>
      <c r="AR108" s="90"/>
      <c r="AS108" s="90" t="s">
        <v>341</v>
      </c>
      <c r="AT108" s="93" t="str">
        <f>HYPERLINK("https://www.youtube.com/channel/UCJPr1NicnL24X4c47Yh_cKA")</f>
        <v>https://www.youtube.com/channel/UCJPr1NicnL24X4c47Yh_cKA</v>
      </c>
      <c r="AU108" s="89" t="str">
        <f>REPLACE(INDEX(GroupVertices[Group],MATCH(Vertices[[#This Row],[Vertex]],GroupVertices[Vertex],0)),1,1,"")</f>
        <v>1</v>
      </c>
      <c r="AV108" s="48">
        <v>2</v>
      </c>
      <c r="AW108" s="49">
        <v>22.22222222222222</v>
      </c>
      <c r="AX108" s="48">
        <v>0</v>
      </c>
      <c r="AY108" s="49">
        <v>0</v>
      </c>
      <c r="AZ108" s="48">
        <v>0</v>
      </c>
      <c r="BA108" s="49">
        <v>0</v>
      </c>
      <c r="BB108" s="48">
        <v>7</v>
      </c>
      <c r="BC108" s="49">
        <v>77.77777777777777</v>
      </c>
      <c r="BD108" s="48">
        <v>9</v>
      </c>
      <c r="BE108" s="48"/>
      <c r="BF108" s="48"/>
      <c r="BG108" s="48"/>
      <c r="BH108" s="48"/>
      <c r="BI108" s="48"/>
      <c r="BJ108" s="48"/>
      <c r="BK108" s="48" t="s">
        <v>1347</v>
      </c>
      <c r="BL108" s="48" t="s">
        <v>1347</v>
      </c>
      <c r="BM108" s="119" t="s">
        <v>1492</v>
      </c>
      <c r="BN108" s="119" t="s">
        <v>1492</v>
      </c>
      <c r="BO108" s="119" t="s">
        <v>1610</v>
      </c>
      <c r="BP108" s="119" t="s">
        <v>1610</v>
      </c>
      <c r="BQ108" s="2"/>
      <c r="BR108" s="3"/>
      <c r="BS108" s="3"/>
      <c r="BT108" s="3"/>
      <c r="BU108" s="3"/>
    </row>
    <row r="109" spans="1:73" ht="15">
      <c r="A109" s="66" t="s">
        <v>870</v>
      </c>
      <c r="B109" s="67"/>
      <c r="C109" s="67"/>
      <c r="D109" s="68">
        <v>200</v>
      </c>
      <c r="E109" s="124"/>
      <c r="F109" s="98" t="str">
        <f>HYPERLINK("https://yt3.ggpht.com/a/AATXAJw4qMQ9lmYY_5FDh3Vl3p-cqSW6l3Xh6vFj1w=s88-c-k-c0xffffffff-no-rj-mo")</f>
        <v>https://yt3.ggpht.com/a/AATXAJw4qMQ9lmYY_5FDh3Vl3p-cqSW6l3Xh6vFj1w=s88-c-k-c0xffffffff-no-rj-mo</v>
      </c>
      <c r="G109" s="125"/>
      <c r="H109" s="71" t="s">
        <v>1177</v>
      </c>
      <c r="I109" s="72"/>
      <c r="J109" s="126" t="s">
        <v>159</v>
      </c>
      <c r="K109" s="71" t="s">
        <v>1177</v>
      </c>
      <c r="L109" s="127">
        <v>1</v>
      </c>
      <c r="M109" s="76">
        <v>803.2329711914062</v>
      </c>
      <c r="N109" s="76">
        <v>4419.17333984375</v>
      </c>
      <c r="O109" s="77"/>
      <c r="P109" s="78"/>
      <c r="Q109" s="78"/>
      <c r="R109" s="128"/>
      <c r="S109" s="48">
        <v>0</v>
      </c>
      <c r="T109" s="48">
        <v>1</v>
      </c>
      <c r="U109" s="49">
        <v>0</v>
      </c>
      <c r="V109" s="49">
        <v>0.002597</v>
      </c>
      <c r="W109" s="49">
        <v>0.002556</v>
      </c>
      <c r="X109" s="49">
        <v>0.420071</v>
      </c>
      <c r="Y109" s="49">
        <v>0</v>
      </c>
      <c r="Z109" s="49">
        <v>0</v>
      </c>
      <c r="AA109" s="73">
        <v>109</v>
      </c>
      <c r="AB109" s="73"/>
      <c r="AC109" s="74"/>
      <c r="AD109" s="90" t="s">
        <v>1177</v>
      </c>
      <c r="AE109" s="90"/>
      <c r="AF109" s="90"/>
      <c r="AG109" s="90"/>
      <c r="AH109" s="90"/>
      <c r="AI109" s="90"/>
      <c r="AJ109" s="96">
        <v>39641.715775462966</v>
      </c>
      <c r="AK109" s="93" t="str">
        <f>HYPERLINK("https://yt3.ggpht.com/a/AATXAJw4qMQ9lmYY_5FDh3Vl3p-cqSW6l3Xh6vFj1w=s88-c-k-c0xffffffff-no-rj-mo")</f>
        <v>https://yt3.ggpht.com/a/AATXAJw4qMQ9lmYY_5FDh3Vl3p-cqSW6l3Xh6vFj1w=s88-c-k-c0xffffffff-no-rj-mo</v>
      </c>
      <c r="AL109" s="90">
        <v>40</v>
      </c>
      <c r="AM109" s="90">
        <v>0</v>
      </c>
      <c r="AN109" s="90">
        <v>2</v>
      </c>
      <c r="AO109" s="90" t="b">
        <v>0</v>
      </c>
      <c r="AP109" s="90">
        <v>1</v>
      </c>
      <c r="AQ109" s="90"/>
      <c r="AR109" s="90"/>
      <c r="AS109" s="90" t="s">
        <v>341</v>
      </c>
      <c r="AT109" s="93" t="str">
        <f>HYPERLINK("https://www.youtube.com/channel/UCyGi1E-cVLufZHG4RugRivQ")</f>
        <v>https://www.youtube.com/channel/UCyGi1E-cVLufZHG4RugRivQ</v>
      </c>
      <c r="AU109" s="89" t="str">
        <f>REPLACE(INDEX(GroupVertices[Group],MATCH(Vertices[[#This Row],[Vertex]],GroupVertices[Vertex],0)),1,1,"")</f>
        <v>1</v>
      </c>
      <c r="AV109" s="48">
        <v>0</v>
      </c>
      <c r="AW109" s="49">
        <v>0</v>
      </c>
      <c r="AX109" s="48">
        <v>0</v>
      </c>
      <c r="AY109" s="49">
        <v>0</v>
      </c>
      <c r="AZ109" s="48">
        <v>0</v>
      </c>
      <c r="BA109" s="49">
        <v>0</v>
      </c>
      <c r="BB109" s="48">
        <v>3</v>
      </c>
      <c r="BC109" s="49">
        <v>100</v>
      </c>
      <c r="BD109" s="48">
        <v>3</v>
      </c>
      <c r="BE109" s="48"/>
      <c r="BF109" s="48"/>
      <c r="BG109" s="48"/>
      <c r="BH109" s="48"/>
      <c r="BI109" s="48"/>
      <c r="BJ109" s="48"/>
      <c r="BK109" s="48" t="s">
        <v>1347</v>
      </c>
      <c r="BL109" s="48" t="s">
        <v>1347</v>
      </c>
      <c r="BM109" s="119" t="s">
        <v>1493</v>
      </c>
      <c r="BN109" s="119" t="s">
        <v>1493</v>
      </c>
      <c r="BO109" s="119" t="s">
        <v>1611</v>
      </c>
      <c r="BP109" s="119" t="s">
        <v>1611</v>
      </c>
      <c r="BQ109" s="2"/>
      <c r="BR109" s="3"/>
      <c r="BS109" s="3"/>
      <c r="BT109" s="3"/>
      <c r="BU109" s="3"/>
    </row>
    <row r="110" spans="1:73" ht="15">
      <c r="A110" s="66" t="s">
        <v>871</v>
      </c>
      <c r="B110" s="67"/>
      <c r="C110" s="67"/>
      <c r="D110" s="68">
        <v>520</v>
      </c>
      <c r="E110" s="124"/>
      <c r="F110" s="98" t="str">
        <f>HYPERLINK("https://yt3.ggpht.com/a/AATXAJwCz4bmp9bYAyKsyu6Aqs5O6GYRXzeTgYYGo6LTEA=s88-c-k-c0xffffffff-no-rj-mo")</f>
        <v>https://yt3.ggpht.com/a/AATXAJwCz4bmp9bYAyKsyu6Aqs5O6GYRXzeTgYYGo6LTEA=s88-c-k-c0xffffffff-no-rj-mo</v>
      </c>
      <c r="G110" s="125"/>
      <c r="H110" s="71" t="s">
        <v>1178</v>
      </c>
      <c r="I110" s="72"/>
      <c r="J110" s="126" t="s">
        <v>75</v>
      </c>
      <c r="K110" s="71" t="s">
        <v>1178</v>
      </c>
      <c r="L110" s="127">
        <v>477.0952380952381</v>
      </c>
      <c r="M110" s="76">
        <v>1707.6602783203125</v>
      </c>
      <c r="N110" s="76">
        <v>6094.08447265625</v>
      </c>
      <c r="O110" s="77"/>
      <c r="P110" s="78"/>
      <c r="Q110" s="78"/>
      <c r="R110" s="128"/>
      <c r="S110" s="48">
        <v>2</v>
      </c>
      <c r="T110" s="48">
        <v>2</v>
      </c>
      <c r="U110" s="49">
        <v>0</v>
      </c>
      <c r="V110" s="49">
        <v>0.003509</v>
      </c>
      <c r="W110" s="49">
        <v>0.016804</v>
      </c>
      <c r="X110" s="49">
        <v>0.934973</v>
      </c>
      <c r="Y110" s="49">
        <v>0.5</v>
      </c>
      <c r="Z110" s="49">
        <v>0</v>
      </c>
      <c r="AA110" s="73">
        <v>110</v>
      </c>
      <c r="AB110" s="73"/>
      <c r="AC110" s="74"/>
      <c r="AD110" s="90" t="s">
        <v>1178</v>
      </c>
      <c r="AE110" s="90"/>
      <c r="AF110" s="90"/>
      <c r="AG110" s="90"/>
      <c r="AH110" s="90"/>
      <c r="AI110" s="90"/>
      <c r="AJ110" s="96">
        <v>40837.229733796295</v>
      </c>
      <c r="AK110" s="93" t="str">
        <f>HYPERLINK("https://yt3.ggpht.com/a/AATXAJwCz4bmp9bYAyKsyu6Aqs5O6GYRXzeTgYYGo6LTEA=s88-c-k-c0xffffffff-no-rj-mo")</f>
        <v>https://yt3.ggpht.com/a/AATXAJwCz4bmp9bYAyKsyu6Aqs5O6GYRXzeTgYYGo6LTEA=s88-c-k-c0xffffffff-no-rj-mo</v>
      </c>
      <c r="AL110" s="90">
        <v>128</v>
      </c>
      <c r="AM110" s="90">
        <v>0</v>
      </c>
      <c r="AN110" s="90">
        <v>9</v>
      </c>
      <c r="AO110" s="90" t="b">
        <v>0</v>
      </c>
      <c r="AP110" s="90">
        <v>1</v>
      </c>
      <c r="AQ110" s="90"/>
      <c r="AR110" s="90"/>
      <c r="AS110" s="90" t="s">
        <v>341</v>
      </c>
      <c r="AT110" s="93" t="str">
        <f>HYPERLINK("https://www.youtube.com/channel/UCNmDmaEx2Sj6Nmsa4aWyYYQ")</f>
        <v>https://www.youtube.com/channel/UCNmDmaEx2Sj6Nmsa4aWyYYQ</v>
      </c>
      <c r="AU110" s="89" t="str">
        <f>REPLACE(INDEX(GroupVertices[Group],MATCH(Vertices[[#This Row],[Vertex]],GroupVertices[Vertex],0)),1,1,"")</f>
        <v>1</v>
      </c>
      <c r="AV110" s="48">
        <v>2</v>
      </c>
      <c r="AW110" s="49">
        <v>6.666666666666667</v>
      </c>
      <c r="AX110" s="48">
        <v>0</v>
      </c>
      <c r="AY110" s="49">
        <v>0</v>
      </c>
      <c r="AZ110" s="48">
        <v>0</v>
      </c>
      <c r="BA110" s="49">
        <v>0</v>
      </c>
      <c r="BB110" s="48">
        <v>28</v>
      </c>
      <c r="BC110" s="49">
        <v>93.33333333333333</v>
      </c>
      <c r="BD110" s="48">
        <v>30</v>
      </c>
      <c r="BE110" s="48"/>
      <c r="BF110" s="48"/>
      <c r="BG110" s="48"/>
      <c r="BH110" s="48"/>
      <c r="BI110" s="48"/>
      <c r="BJ110" s="48"/>
      <c r="BK110" s="48" t="s">
        <v>1347</v>
      </c>
      <c r="BL110" s="48" t="s">
        <v>1347</v>
      </c>
      <c r="BM110" s="119" t="s">
        <v>1494</v>
      </c>
      <c r="BN110" s="119" t="s">
        <v>1494</v>
      </c>
      <c r="BO110" s="119" t="s">
        <v>1612</v>
      </c>
      <c r="BP110" s="119" t="s">
        <v>1612</v>
      </c>
      <c r="BQ110" s="2"/>
      <c r="BR110" s="3"/>
      <c r="BS110" s="3"/>
      <c r="BT110" s="3"/>
      <c r="BU110" s="3"/>
    </row>
    <row r="111" spans="1:73" ht="15">
      <c r="A111" s="66" t="s">
        <v>873</v>
      </c>
      <c r="B111" s="67"/>
      <c r="C111" s="67"/>
      <c r="D111" s="68">
        <v>680</v>
      </c>
      <c r="E111" s="124"/>
      <c r="F111" s="98" t="str">
        <f>HYPERLINK("https://yt3.ggpht.com/a/AATXAJzpC6jsAaAwDyIvmokR9Q5_7HQwZahUHNAaDQ=s88-c-k-c0xffffffff-no-rj-mo")</f>
        <v>https://yt3.ggpht.com/a/AATXAJzpC6jsAaAwDyIvmokR9Q5_7HQwZahUHNAaDQ=s88-c-k-c0xffffffff-no-rj-mo</v>
      </c>
      <c r="G111" s="125"/>
      <c r="H111" s="71" t="s">
        <v>1180</v>
      </c>
      <c r="I111" s="72"/>
      <c r="J111" s="126" t="s">
        <v>75</v>
      </c>
      <c r="K111" s="71" t="s">
        <v>1180</v>
      </c>
      <c r="L111" s="127">
        <v>715.1428571428571</v>
      </c>
      <c r="M111" s="76">
        <v>9296.01171875</v>
      </c>
      <c r="N111" s="76">
        <v>1779.5948486328125</v>
      </c>
      <c r="O111" s="77"/>
      <c r="P111" s="78"/>
      <c r="Q111" s="78"/>
      <c r="R111" s="128"/>
      <c r="S111" s="48">
        <v>3</v>
      </c>
      <c r="T111" s="48">
        <v>2</v>
      </c>
      <c r="U111" s="49">
        <v>177.265474</v>
      </c>
      <c r="V111" s="49">
        <v>0.003534</v>
      </c>
      <c r="W111" s="49">
        <v>0.015316</v>
      </c>
      <c r="X111" s="49">
        <v>1.240783</v>
      </c>
      <c r="Y111" s="49">
        <v>0</v>
      </c>
      <c r="Z111" s="49">
        <v>0</v>
      </c>
      <c r="AA111" s="73">
        <v>111</v>
      </c>
      <c r="AB111" s="73"/>
      <c r="AC111" s="74"/>
      <c r="AD111" s="90" t="s">
        <v>1180</v>
      </c>
      <c r="AE111" s="90"/>
      <c r="AF111" s="90"/>
      <c r="AG111" s="90"/>
      <c r="AH111" s="90"/>
      <c r="AI111" s="90"/>
      <c r="AJ111" s="96">
        <v>42561.11362268519</v>
      </c>
      <c r="AK111" s="93" t="str">
        <f>HYPERLINK("https://yt3.ggpht.com/a/AATXAJzpC6jsAaAwDyIvmokR9Q5_7HQwZahUHNAaDQ=s88-c-k-c0xffffffff-no-rj-mo")</f>
        <v>https://yt3.ggpht.com/a/AATXAJzpC6jsAaAwDyIvmokR9Q5_7HQwZahUHNAaDQ=s88-c-k-c0xffffffff-no-rj-mo</v>
      </c>
      <c r="AL111" s="90">
        <v>0</v>
      </c>
      <c r="AM111" s="90">
        <v>0</v>
      </c>
      <c r="AN111" s="90">
        <v>1</v>
      </c>
      <c r="AO111" s="90" t="b">
        <v>0</v>
      </c>
      <c r="AP111" s="90">
        <v>0</v>
      </c>
      <c r="AQ111" s="90"/>
      <c r="AR111" s="90"/>
      <c r="AS111" s="90" t="s">
        <v>341</v>
      </c>
      <c r="AT111" s="93" t="str">
        <f>HYPERLINK("https://www.youtube.com/channel/UCwnsrEVkVOvGMc934DSFRXg")</f>
        <v>https://www.youtube.com/channel/UCwnsrEVkVOvGMc934DSFRXg</v>
      </c>
      <c r="AU111" s="89" t="str">
        <f>REPLACE(INDEX(GroupVertices[Group],MATCH(Vertices[[#This Row],[Vertex]],GroupVertices[Vertex],0)),1,1,"")</f>
        <v>9</v>
      </c>
      <c r="AV111" s="48">
        <v>1</v>
      </c>
      <c r="AW111" s="49">
        <v>2.5</v>
      </c>
      <c r="AX111" s="48">
        <v>1</v>
      </c>
      <c r="AY111" s="49">
        <v>2.5</v>
      </c>
      <c r="AZ111" s="48">
        <v>0</v>
      </c>
      <c r="BA111" s="49">
        <v>0</v>
      </c>
      <c r="BB111" s="48">
        <v>38</v>
      </c>
      <c r="BC111" s="49">
        <v>95</v>
      </c>
      <c r="BD111" s="48">
        <v>40</v>
      </c>
      <c r="BE111" s="48"/>
      <c r="BF111" s="48"/>
      <c r="BG111" s="48"/>
      <c r="BH111" s="48"/>
      <c r="BI111" s="48"/>
      <c r="BJ111" s="48"/>
      <c r="BK111" s="48" t="s">
        <v>1347</v>
      </c>
      <c r="BL111" s="48" t="s">
        <v>1347</v>
      </c>
      <c r="BM111" s="119" t="s">
        <v>1495</v>
      </c>
      <c r="BN111" s="119" t="s">
        <v>1510</v>
      </c>
      <c r="BO111" s="119" t="s">
        <v>1613</v>
      </c>
      <c r="BP111" s="119" t="s">
        <v>1613</v>
      </c>
      <c r="BQ111" s="2"/>
      <c r="BR111" s="3"/>
      <c r="BS111" s="3"/>
      <c r="BT111" s="3"/>
      <c r="BU111" s="3"/>
    </row>
    <row r="112" spans="1:73" ht="15">
      <c r="A112" s="66" t="s">
        <v>872</v>
      </c>
      <c r="B112" s="67"/>
      <c r="C112" s="67"/>
      <c r="D112" s="68">
        <v>200</v>
      </c>
      <c r="E112" s="124"/>
      <c r="F112" s="98" t="str">
        <f>HYPERLINK("https://yt3.ggpht.com/a/AATXAJx5B67-wNi4Ny7-w6PvVq_nNbQJ7jS6rLoxT583=s88-c-k-c0xffffffff-no-rj-mo")</f>
        <v>https://yt3.ggpht.com/a/AATXAJx5B67-wNi4Ny7-w6PvVq_nNbQJ7jS6rLoxT583=s88-c-k-c0xffffffff-no-rj-mo</v>
      </c>
      <c r="G112" s="125"/>
      <c r="H112" s="71" t="s">
        <v>1179</v>
      </c>
      <c r="I112" s="72"/>
      <c r="J112" s="126" t="s">
        <v>159</v>
      </c>
      <c r="K112" s="71" t="s">
        <v>1179</v>
      </c>
      <c r="L112" s="127">
        <v>1</v>
      </c>
      <c r="M112" s="76">
        <v>9011.1728515625</v>
      </c>
      <c r="N112" s="76">
        <v>2617.360595703125</v>
      </c>
      <c r="O112" s="77"/>
      <c r="P112" s="78"/>
      <c r="Q112" s="78"/>
      <c r="R112" s="128"/>
      <c r="S112" s="48">
        <v>0</v>
      </c>
      <c r="T112" s="48">
        <v>2</v>
      </c>
      <c r="U112" s="49">
        <v>1.5</v>
      </c>
      <c r="V112" s="49">
        <v>0.002564</v>
      </c>
      <c r="W112" s="49">
        <v>0.003717</v>
      </c>
      <c r="X112" s="49">
        <v>0.712327</v>
      </c>
      <c r="Y112" s="49">
        <v>0</v>
      </c>
      <c r="Z112" s="49">
        <v>0</v>
      </c>
      <c r="AA112" s="73">
        <v>112</v>
      </c>
      <c r="AB112" s="73"/>
      <c r="AC112" s="74"/>
      <c r="AD112" s="90" t="s">
        <v>1179</v>
      </c>
      <c r="AE112" s="90"/>
      <c r="AF112" s="90"/>
      <c r="AG112" s="90"/>
      <c r="AH112" s="90"/>
      <c r="AI112" s="90"/>
      <c r="AJ112" s="96">
        <v>41889.00467592593</v>
      </c>
      <c r="AK112" s="93" t="str">
        <f>HYPERLINK("https://yt3.ggpht.com/a/AATXAJx5B67-wNi4Ny7-w6PvVq_nNbQJ7jS6rLoxT583=s88-c-k-c0xffffffff-no-rj-mo")</f>
        <v>https://yt3.ggpht.com/a/AATXAJx5B67-wNi4Ny7-w6PvVq_nNbQJ7jS6rLoxT583=s88-c-k-c0xffffffff-no-rj-mo</v>
      </c>
      <c r="AL112" s="90">
        <v>0</v>
      </c>
      <c r="AM112" s="90">
        <v>0</v>
      </c>
      <c r="AN112" s="90">
        <v>10</v>
      </c>
      <c r="AO112" s="90" t="b">
        <v>0</v>
      </c>
      <c r="AP112" s="90">
        <v>0</v>
      </c>
      <c r="AQ112" s="90"/>
      <c r="AR112" s="90"/>
      <c r="AS112" s="90" t="s">
        <v>341</v>
      </c>
      <c r="AT112" s="93" t="str">
        <f>HYPERLINK("https://www.youtube.com/channel/UCXMh2hN11YUaC8RvaYWFn4g")</f>
        <v>https://www.youtube.com/channel/UCXMh2hN11YUaC8RvaYWFn4g</v>
      </c>
      <c r="AU112" s="89" t="str">
        <f>REPLACE(INDEX(GroupVertices[Group],MATCH(Vertices[[#This Row],[Vertex]],GroupVertices[Vertex],0)),1,1,"")</f>
        <v>9</v>
      </c>
      <c r="AV112" s="48">
        <v>2</v>
      </c>
      <c r="AW112" s="49">
        <v>8.333333333333334</v>
      </c>
      <c r="AX112" s="48">
        <v>0</v>
      </c>
      <c r="AY112" s="49">
        <v>0</v>
      </c>
      <c r="AZ112" s="48">
        <v>0</v>
      </c>
      <c r="BA112" s="49">
        <v>0</v>
      </c>
      <c r="BB112" s="48">
        <v>22</v>
      </c>
      <c r="BC112" s="49">
        <v>91.66666666666667</v>
      </c>
      <c r="BD112" s="48">
        <v>24</v>
      </c>
      <c r="BE112" s="48"/>
      <c r="BF112" s="48"/>
      <c r="BG112" s="48"/>
      <c r="BH112" s="48"/>
      <c r="BI112" s="48"/>
      <c r="BJ112" s="48"/>
      <c r="BK112" s="48" t="s">
        <v>1347</v>
      </c>
      <c r="BL112" s="48" t="s">
        <v>1347</v>
      </c>
      <c r="BM112" s="119" t="s">
        <v>1496</v>
      </c>
      <c r="BN112" s="119" t="s">
        <v>1496</v>
      </c>
      <c r="BO112" s="119" t="s">
        <v>1614</v>
      </c>
      <c r="BP112" s="119" t="s">
        <v>1614</v>
      </c>
      <c r="BQ112" s="2"/>
      <c r="BR112" s="3"/>
      <c r="BS112" s="3"/>
      <c r="BT112" s="3"/>
      <c r="BU112" s="3"/>
    </row>
    <row r="113" spans="1:73" ht="15">
      <c r="A113" s="66" t="s">
        <v>874</v>
      </c>
      <c r="B113" s="67"/>
      <c r="C113" s="67"/>
      <c r="D113" s="68">
        <v>360</v>
      </c>
      <c r="E113" s="124"/>
      <c r="F113" s="98" t="str">
        <f>HYPERLINK("https://yt3.ggpht.com/a/AATXAJzKKuwq3i6s5HwaQy2BWGm7R2khTPkGuAdANjBB=s88-c-k-c0xffffffff-no-rj-mo")</f>
        <v>https://yt3.ggpht.com/a/AATXAJzKKuwq3i6s5HwaQy2BWGm7R2khTPkGuAdANjBB=s88-c-k-c0xffffffff-no-rj-mo</v>
      </c>
      <c r="G113" s="125"/>
      <c r="H113" s="71" t="s">
        <v>1181</v>
      </c>
      <c r="I113" s="72"/>
      <c r="J113" s="126" t="s">
        <v>75</v>
      </c>
      <c r="K113" s="71" t="s">
        <v>1181</v>
      </c>
      <c r="L113" s="127">
        <v>239.04761904761904</v>
      </c>
      <c r="M113" s="76">
        <v>8725.2421875</v>
      </c>
      <c r="N113" s="76">
        <v>3453.411865234375</v>
      </c>
      <c r="O113" s="77"/>
      <c r="P113" s="78"/>
      <c r="Q113" s="78"/>
      <c r="R113" s="128"/>
      <c r="S113" s="48">
        <v>1</v>
      </c>
      <c r="T113" s="48">
        <v>1</v>
      </c>
      <c r="U113" s="49">
        <v>105.709091</v>
      </c>
      <c r="V113" s="49">
        <v>0.003509</v>
      </c>
      <c r="W113" s="49">
        <v>0.012499</v>
      </c>
      <c r="X113" s="49">
        <v>0.702732</v>
      </c>
      <c r="Y113" s="49">
        <v>0</v>
      </c>
      <c r="Z113" s="49">
        <v>0</v>
      </c>
      <c r="AA113" s="73">
        <v>113</v>
      </c>
      <c r="AB113" s="73"/>
      <c r="AC113" s="74"/>
      <c r="AD113" s="90" t="s">
        <v>1181</v>
      </c>
      <c r="AE113" s="90"/>
      <c r="AF113" s="90"/>
      <c r="AG113" s="90"/>
      <c r="AH113" s="90"/>
      <c r="AI113" s="90"/>
      <c r="AJ113" s="96">
        <v>41194.78288194445</v>
      </c>
      <c r="AK113" s="93" t="str">
        <f>HYPERLINK("https://yt3.ggpht.com/a/AATXAJzKKuwq3i6s5HwaQy2BWGm7R2khTPkGuAdANjBB=s88-c-k-c0xffffffff-no-rj-mo")</f>
        <v>https://yt3.ggpht.com/a/AATXAJzKKuwq3i6s5HwaQy2BWGm7R2khTPkGuAdANjBB=s88-c-k-c0xffffffff-no-rj-mo</v>
      </c>
      <c r="AL113" s="90">
        <v>0</v>
      </c>
      <c r="AM113" s="90">
        <v>0</v>
      </c>
      <c r="AN113" s="90">
        <v>20</v>
      </c>
      <c r="AO113" s="90" t="b">
        <v>0</v>
      </c>
      <c r="AP113" s="90">
        <v>0</v>
      </c>
      <c r="AQ113" s="90"/>
      <c r="AR113" s="90"/>
      <c r="AS113" s="90" t="s">
        <v>341</v>
      </c>
      <c r="AT113" s="93" t="str">
        <f>HYPERLINK("https://www.youtube.com/channel/UCq2ezHzepWc21jymDdA6SfQ")</f>
        <v>https://www.youtube.com/channel/UCq2ezHzepWc21jymDdA6SfQ</v>
      </c>
      <c r="AU113" s="89" t="str">
        <f>REPLACE(INDEX(GroupVertices[Group],MATCH(Vertices[[#This Row],[Vertex]],GroupVertices[Vertex],0)),1,1,"")</f>
        <v>9</v>
      </c>
      <c r="AV113" s="48">
        <v>0</v>
      </c>
      <c r="AW113" s="49">
        <v>0</v>
      </c>
      <c r="AX113" s="48">
        <v>0</v>
      </c>
      <c r="AY113" s="49">
        <v>0</v>
      </c>
      <c r="AZ113" s="48">
        <v>0</v>
      </c>
      <c r="BA113" s="49">
        <v>0</v>
      </c>
      <c r="BB113" s="48">
        <v>32</v>
      </c>
      <c r="BC113" s="49">
        <v>100</v>
      </c>
      <c r="BD113" s="48">
        <v>32</v>
      </c>
      <c r="BE113" s="48"/>
      <c r="BF113" s="48"/>
      <c r="BG113" s="48"/>
      <c r="BH113" s="48"/>
      <c r="BI113" s="48"/>
      <c r="BJ113" s="48"/>
      <c r="BK113" s="48" t="s">
        <v>1347</v>
      </c>
      <c r="BL113" s="48" t="s">
        <v>1347</v>
      </c>
      <c r="BM113" s="119" t="s">
        <v>1497</v>
      </c>
      <c r="BN113" s="119" t="s">
        <v>1497</v>
      </c>
      <c r="BO113" s="119" t="s">
        <v>1615</v>
      </c>
      <c r="BP113" s="119" t="s">
        <v>1615</v>
      </c>
      <c r="BQ113" s="2"/>
      <c r="BR113" s="3"/>
      <c r="BS113" s="3"/>
      <c r="BT113" s="3"/>
      <c r="BU113" s="3"/>
    </row>
    <row r="114" spans="1:73" ht="15">
      <c r="A114"/>
      <c r="J114"/>
      <c r="AA114"/>
      <c r="AB114"/>
      <c r="AC114"/>
      <c r="AD114"/>
      <c r="AE114"/>
      <c r="AF114"/>
      <c r="AG114"/>
      <c r="AH114"/>
      <c r="BQ114" s="2"/>
      <c r="BR114" s="3"/>
      <c r="BS114" s="3"/>
      <c r="BT114" s="3"/>
      <c r="BU114" s="3"/>
    </row>
    <row r="115" spans="1:73" ht="15">
      <c r="A115"/>
      <c r="J115"/>
      <c r="AA115"/>
      <c r="AB115"/>
      <c r="AC115"/>
      <c r="AD115"/>
      <c r="AE115"/>
      <c r="AF115"/>
      <c r="AG115"/>
      <c r="AH115"/>
      <c r="BQ115" s="2"/>
      <c r="BR115" s="3"/>
      <c r="BS115" s="3"/>
      <c r="BT115" s="3"/>
      <c r="BU115" s="3"/>
    </row>
    <row r="116" spans="1:73" ht="15">
      <c r="A116"/>
      <c r="J116"/>
      <c r="AA116"/>
      <c r="AB116"/>
      <c r="AC116"/>
      <c r="AD116"/>
      <c r="AE116"/>
      <c r="AF116"/>
      <c r="AG116"/>
      <c r="AH116"/>
      <c r="BQ116" s="2"/>
      <c r="BR116" s="3"/>
      <c r="BS116" s="3"/>
      <c r="BT116" s="3"/>
      <c r="BU116" s="3"/>
    </row>
    <row r="117" spans="1:73" ht="15">
      <c r="A117"/>
      <c r="J117"/>
      <c r="AA117"/>
      <c r="AB117"/>
      <c r="AC117"/>
      <c r="AD117"/>
      <c r="AE117"/>
      <c r="AF117"/>
      <c r="AG117"/>
      <c r="AH117"/>
      <c r="BQ117" s="2"/>
      <c r="BR117" s="3"/>
      <c r="BS117" s="3"/>
      <c r="BT117" s="3"/>
      <c r="BU117" s="3"/>
    </row>
    <row r="118" spans="1:73" ht="15">
      <c r="A118"/>
      <c r="J118"/>
      <c r="AA118"/>
      <c r="AB118"/>
      <c r="AC118"/>
      <c r="AD118"/>
      <c r="AE118"/>
      <c r="AF118"/>
      <c r="AG118"/>
      <c r="AH118"/>
      <c r="BQ118" s="2"/>
      <c r="BR118" s="3"/>
      <c r="BS118" s="3"/>
      <c r="BT118" s="3"/>
      <c r="BU118" s="3"/>
    </row>
    <row r="119" spans="1:73" ht="15">
      <c r="A119"/>
      <c r="J119"/>
      <c r="AA119"/>
      <c r="AB119"/>
      <c r="AC119"/>
      <c r="AD119"/>
      <c r="AE119"/>
      <c r="AF119"/>
      <c r="AG119"/>
      <c r="AH119"/>
      <c r="BQ119" s="2"/>
      <c r="BR119" s="3"/>
      <c r="BS119" s="3"/>
      <c r="BT119" s="3"/>
      <c r="BU119" s="3"/>
    </row>
    <row r="120" spans="1:73" ht="15">
      <c r="A120"/>
      <c r="J120"/>
      <c r="AA120"/>
      <c r="AB120"/>
      <c r="AC120"/>
      <c r="AD120"/>
      <c r="AE120"/>
      <c r="AF120"/>
      <c r="AG120"/>
      <c r="AH120"/>
      <c r="BQ120" s="2"/>
      <c r="BR120" s="3"/>
      <c r="BS120" s="3"/>
      <c r="BT120" s="3"/>
      <c r="BU120" s="3"/>
    </row>
    <row r="121" spans="1:73" ht="15">
      <c r="A121"/>
      <c r="J121"/>
      <c r="AA121"/>
      <c r="AB121"/>
      <c r="AC121"/>
      <c r="AD121"/>
      <c r="AE121"/>
      <c r="AF121"/>
      <c r="AG121"/>
      <c r="AH121"/>
      <c r="BQ121" s="2"/>
      <c r="BR121" s="3"/>
      <c r="BS121" s="3"/>
      <c r="BT121" s="3"/>
      <c r="BU121" s="3"/>
    </row>
    <row r="122" spans="1:73" ht="15">
      <c r="A122"/>
      <c r="J122"/>
      <c r="AA122"/>
      <c r="AB122"/>
      <c r="AC122"/>
      <c r="AD122"/>
      <c r="AE122"/>
      <c r="AF122"/>
      <c r="AG122"/>
      <c r="AH122"/>
      <c r="BQ122" s="2"/>
      <c r="BR122" s="3"/>
      <c r="BS122" s="3"/>
      <c r="BT122" s="3"/>
      <c r="BU122" s="3"/>
    </row>
    <row r="123" spans="1:73" ht="15">
      <c r="A123"/>
      <c r="J123"/>
      <c r="AA123"/>
      <c r="AB123"/>
      <c r="AC123"/>
      <c r="AD123"/>
      <c r="AE123"/>
      <c r="AF123"/>
      <c r="AG123"/>
      <c r="AH123"/>
      <c r="BQ123" s="2"/>
      <c r="BR123" s="3"/>
      <c r="BS123" s="3"/>
      <c r="BT123" s="3"/>
      <c r="BU123" s="3"/>
    </row>
    <row r="124" spans="1:73" ht="15">
      <c r="A124"/>
      <c r="J124"/>
      <c r="AA124"/>
      <c r="AB124"/>
      <c r="AC124"/>
      <c r="AD124"/>
      <c r="AE124"/>
      <c r="AF124"/>
      <c r="AG124"/>
      <c r="AH124"/>
      <c r="BQ124" s="2"/>
      <c r="BR124" s="3"/>
      <c r="BS124" s="3"/>
      <c r="BT124" s="3"/>
      <c r="BU124" s="3"/>
    </row>
    <row r="125" spans="1:73" ht="15">
      <c r="A125"/>
      <c r="J125"/>
      <c r="AA125"/>
      <c r="AB125"/>
      <c r="AC125"/>
      <c r="AD125"/>
      <c r="AE125"/>
      <c r="AF125"/>
      <c r="AG125"/>
      <c r="AH125"/>
      <c r="BQ125" s="2"/>
      <c r="BR125" s="3"/>
      <c r="BS125" s="3"/>
      <c r="BT125" s="3"/>
      <c r="BU125" s="3"/>
    </row>
    <row r="126" spans="1:73" ht="15">
      <c r="A126"/>
      <c r="J126"/>
      <c r="AA126"/>
      <c r="AB126"/>
      <c r="AC126"/>
      <c r="AD126"/>
      <c r="AE126"/>
      <c r="AF126"/>
      <c r="AG126"/>
      <c r="AH126"/>
      <c r="BQ126" s="2"/>
      <c r="BR126" s="3"/>
      <c r="BS126" s="3"/>
      <c r="BT126" s="3"/>
      <c r="BU126" s="3"/>
    </row>
    <row r="127" spans="1:73" ht="15">
      <c r="A127"/>
      <c r="J127"/>
      <c r="AA127"/>
      <c r="AB127"/>
      <c r="AC127"/>
      <c r="AD127"/>
      <c r="AE127"/>
      <c r="AF127"/>
      <c r="AG127"/>
      <c r="AH127"/>
      <c r="BQ127" s="2"/>
      <c r="BR127" s="3"/>
      <c r="BS127" s="3"/>
      <c r="BT127" s="3"/>
      <c r="BU127" s="3"/>
    </row>
    <row r="128" spans="1:73" ht="15">
      <c r="A128"/>
      <c r="J128"/>
      <c r="AA128"/>
      <c r="AB128"/>
      <c r="AC128"/>
      <c r="AD128"/>
      <c r="AE128"/>
      <c r="AF128"/>
      <c r="AG128"/>
      <c r="AH128"/>
      <c r="BQ128" s="2"/>
      <c r="BR128" s="3"/>
      <c r="BS128" s="3"/>
      <c r="BT128" s="3"/>
      <c r="BU128" s="3"/>
    </row>
    <row r="129" spans="1:73" ht="15">
      <c r="A129"/>
      <c r="J129"/>
      <c r="AA129"/>
      <c r="AB129"/>
      <c r="AC129"/>
      <c r="AD129"/>
      <c r="AE129"/>
      <c r="AF129"/>
      <c r="AG129"/>
      <c r="AH129"/>
      <c r="BQ129" s="2"/>
      <c r="BR129" s="3"/>
      <c r="BS129" s="3"/>
      <c r="BT129" s="3"/>
      <c r="BU129" s="3"/>
    </row>
    <row r="130" spans="1:73" ht="15">
      <c r="A130"/>
      <c r="J130"/>
      <c r="AA130"/>
      <c r="AB130"/>
      <c r="AC130"/>
      <c r="AD130"/>
      <c r="AE130"/>
      <c r="AF130"/>
      <c r="AG130"/>
      <c r="AH130"/>
      <c r="BQ130" s="2"/>
      <c r="BR130" s="3"/>
      <c r="BS130" s="3"/>
      <c r="BT130" s="3"/>
      <c r="BU130" s="3"/>
    </row>
    <row r="131" spans="1:73" ht="15">
      <c r="A131"/>
      <c r="J131"/>
      <c r="AA131"/>
      <c r="AB131"/>
      <c r="AC131"/>
      <c r="AD131"/>
      <c r="AE131"/>
      <c r="AF131"/>
      <c r="AG131"/>
      <c r="AH131"/>
      <c r="BQ131" s="2"/>
      <c r="BR131" s="3"/>
      <c r="BS131" s="3"/>
      <c r="BT131" s="3"/>
      <c r="BU131" s="3"/>
    </row>
    <row r="132" spans="1:73" ht="15">
      <c r="A132"/>
      <c r="J132"/>
      <c r="AA132"/>
      <c r="AB132"/>
      <c r="AC132"/>
      <c r="AD132"/>
      <c r="AE132"/>
      <c r="AF132"/>
      <c r="AG132"/>
      <c r="AH132"/>
      <c r="BQ132" s="2"/>
      <c r="BR132" s="3"/>
      <c r="BS132" s="3"/>
      <c r="BT132" s="3"/>
      <c r="BU132" s="3"/>
    </row>
    <row r="133" spans="1:73" ht="15">
      <c r="A133"/>
      <c r="J133"/>
      <c r="AA133"/>
      <c r="AB133"/>
      <c r="AC133"/>
      <c r="AD133"/>
      <c r="AE133"/>
      <c r="AF133"/>
      <c r="AG133"/>
      <c r="AH133"/>
      <c r="BQ133" s="2"/>
      <c r="BR133" s="3"/>
      <c r="BS133" s="3"/>
      <c r="BT133" s="3"/>
      <c r="BU133" s="3"/>
    </row>
    <row r="134" spans="1:73" ht="15">
      <c r="A134"/>
      <c r="J134"/>
      <c r="AA134"/>
      <c r="AB134"/>
      <c r="AC134"/>
      <c r="AD134"/>
      <c r="AE134"/>
      <c r="AF134"/>
      <c r="AG134"/>
      <c r="AH134"/>
      <c r="BQ134" s="2"/>
      <c r="BR134" s="3"/>
      <c r="BS134" s="3"/>
      <c r="BT134" s="3"/>
      <c r="BU134" s="3"/>
    </row>
    <row r="135" spans="1:73" ht="15">
      <c r="A135"/>
      <c r="J135"/>
      <c r="AA135"/>
      <c r="AB135"/>
      <c r="AC135"/>
      <c r="AD135"/>
      <c r="AE135"/>
      <c r="AF135"/>
      <c r="AG135"/>
      <c r="AH135"/>
      <c r="BQ135" s="2"/>
      <c r="BR135" s="3"/>
      <c r="BS135" s="3"/>
      <c r="BT135" s="3"/>
      <c r="BU135" s="3"/>
    </row>
    <row r="136" spans="1:73" ht="15">
      <c r="A136"/>
      <c r="J136"/>
      <c r="AA136"/>
      <c r="AB136"/>
      <c r="AC136"/>
      <c r="AD136"/>
      <c r="AE136"/>
      <c r="AF136"/>
      <c r="AG136"/>
      <c r="AH136"/>
      <c r="BQ136" s="2"/>
      <c r="BR136" s="3"/>
      <c r="BS136" s="3"/>
      <c r="BT136" s="3"/>
      <c r="BU136" s="3"/>
    </row>
    <row r="137" spans="1:73" ht="15">
      <c r="A137"/>
      <c r="J137"/>
      <c r="AA137"/>
      <c r="AB137"/>
      <c r="AC137"/>
      <c r="AD137"/>
      <c r="AE137"/>
      <c r="AF137"/>
      <c r="AG137"/>
      <c r="AH137"/>
      <c r="BQ137" s="2"/>
      <c r="BR137" s="3"/>
      <c r="BS137" s="3"/>
      <c r="BT137" s="3"/>
      <c r="BU137" s="3"/>
    </row>
    <row r="138" spans="1:73" ht="15">
      <c r="A138"/>
      <c r="J138"/>
      <c r="AA138"/>
      <c r="AB138"/>
      <c r="AC138"/>
      <c r="AD138"/>
      <c r="AE138"/>
      <c r="AF138"/>
      <c r="AG138"/>
      <c r="AH138"/>
      <c r="BQ138" s="2"/>
      <c r="BR138" s="3"/>
      <c r="BS138" s="3"/>
      <c r="BT138" s="3"/>
      <c r="BU138" s="3"/>
    </row>
    <row r="139" spans="1:73" ht="15">
      <c r="A139"/>
      <c r="J139"/>
      <c r="AA139"/>
      <c r="AB139"/>
      <c r="AC139"/>
      <c r="AD139"/>
      <c r="AE139"/>
      <c r="AF139"/>
      <c r="AG139"/>
      <c r="AH139"/>
      <c r="BQ139" s="2"/>
      <c r="BR139" s="3"/>
      <c r="BS139" s="3"/>
      <c r="BT139" s="3"/>
      <c r="BU139" s="3"/>
    </row>
    <row r="140" spans="1:73" ht="15">
      <c r="A140"/>
      <c r="J140"/>
      <c r="AA140"/>
      <c r="AB140"/>
      <c r="AC140"/>
      <c r="AD140"/>
      <c r="AE140"/>
      <c r="AF140"/>
      <c r="AG140"/>
      <c r="AH140"/>
      <c r="BQ140" s="2"/>
      <c r="BR140" s="3"/>
      <c r="BS140" s="3"/>
      <c r="BT140" s="3"/>
      <c r="BU140" s="3"/>
    </row>
    <row r="141" spans="1:73" ht="15">
      <c r="A141"/>
      <c r="J141"/>
      <c r="AA141"/>
      <c r="AB141"/>
      <c r="AC141"/>
      <c r="AD141"/>
      <c r="AE141"/>
      <c r="AF141"/>
      <c r="AG141"/>
      <c r="AH141"/>
      <c r="BQ141" s="2"/>
      <c r="BR141" s="3"/>
      <c r="BS141" s="3"/>
      <c r="BT141" s="3"/>
      <c r="BU141" s="3"/>
    </row>
    <row r="142" spans="1:73" ht="15">
      <c r="A142"/>
      <c r="J142"/>
      <c r="AA142"/>
      <c r="AB142"/>
      <c r="AC142"/>
      <c r="AD142"/>
      <c r="AE142"/>
      <c r="AF142"/>
      <c r="AG142"/>
      <c r="AH142"/>
      <c r="BQ142" s="2"/>
      <c r="BR142" s="3"/>
      <c r="BS142" s="3"/>
      <c r="BT142" s="3"/>
      <c r="BU142" s="3"/>
    </row>
    <row r="143" spans="1:73" ht="15">
      <c r="A143"/>
      <c r="J143"/>
      <c r="AA143"/>
      <c r="AB143"/>
      <c r="AC143"/>
      <c r="AD143"/>
      <c r="AE143"/>
      <c r="AF143"/>
      <c r="AG143"/>
      <c r="AH143"/>
      <c r="BQ143" s="2"/>
      <c r="BR143" s="3"/>
      <c r="BS143" s="3"/>
      <c r="BT143" s="3"/>
      <c r="BU143" s="3"/>
    </row>
    <row r="144" spans="1:73" ht="15">
      <c r="A144"/>
      <c r="J144"/>
      <c r="AA144"/>
      <c r="AB144"/>
      <c r="AC144"/>
      <c r="AD144"/>
      <c r="AE144"/>
      <c r="AF144"/>
      <c r="AG144"/>
      <c r="AH144"/>
      <c r="BQ144" s="2"/>
      <c r="BR144" s="3"/>
      <c r="BS144" s="3"/>
      <c r="BT144" s="3"/>
      <c r="BU144" s="3"/>
    </row>
    <row r="145" spans="1:73" ht="15">
      <c r="A145"/>
      <c r="J145"/>
      <c r="AA145"/>
      <c r="AB145"/>
      <c r="AC145"/>
      <c r="AD145"/>
      <c r="AE145"/>
      <c r="AF145"/>
      <c r="AG145"/>
      <c r="AH145"/>
      <c r="BQ145" s="2"/>
      <c r="BR145" s="3"/>
      <c r="BS145" s="3"/>
      <c r="BT145" s="3"/>
      <c r="BU145" s="3"/>
    </row>
    <row r="146" spans="1:73" ht="15">
      <c r="A146"/>
      <c r="J146"/>
      <c r="AA146"/>
      <c r="AB146"/>
      <c r="AC146"/>
      <c r="AD146"/>
      <c r="AE146"/>
      <c r="AF146"/>
      <c r="AG146"/>
      <c r="AH146"/>
      <c r="BQ146" s="2"/>
      <c r="BR146" s="3"/>
      <c r="BS146" s="3"/>
      <c r="BT146" s="3"/>
      <c r="BU146" s="3"/>
    </row>
    <row r="147" spans="1:73" ht="15">
      <c r="A147"/>
      <c r="J147"/>
      <c r="AA147"/>
      <c r="AB147"/>
      <c r="AC147"/>
      <c r="AD147"/>
      <c r="AE147"/>
      <c r="AF147"/>
      <c r="AG147"/>
      <c r="AH147"/>
      <c r="BQ147" s="2"/>
      <c r="BR147" s="3"/>
      <c r="BS147" s="3"/>
      <c r="BT147" s="3"/>
      <c r="BU147" s="3"/>
    </row>
    <row r="148" spans="1:73" ht="15">
      <c r="A148"/>
      <c r="J148"/>
      <c r="AA148"/>
      <c r="AB148"/>
      <c r="AC148"/>
      <c r="AD148"/>
      <c r="AE148"/>
      <c r="AF148"/>
      <c r="AG148"/>
      <c r="AH148"/>
      <c r="BQ148" s="2"/>
      <c r="BR148" s="3"/>
      <c r="BS148" s="3"/>
      <c r="BT148" s="3"/>
      <c r="BU148" s="3"/>
    </row>
    <row r="149" spans="1:73" ht="15">
      <c r="A149"/>
      <c r="J149"/>
      <c r="AA149"/>
      <c r="AB149"/>
      <c r="AC149"/>
      <c r="AD149"/>
      <c r="AE149"/>
      <c r="AF149"/>
      <c r="AG149"/>
      <c r="AH149"/>
      <c r="BQ149" s="2"/>
      <c r="BR149" s="3"/>
      <c r="BS149" s="3"/>
      <c r="BT149" s="3"/>
      <c r="BU149" s="3"/>
    </row>
    <row r="150" spans="1:73" ht="15">
      <c r="A150"/>
      <c r="J150"/>
      <c r="AA150"/>
      <c r="AB150"/>
      <c r="AC150"/>
      <c r="AD150"/>
      <c r="AE150"/>
      <c r="AF150"/>
      <c r="AG150"/>
      <c r="AH150"/>
      <c r="BQ150" s="2"/>
      <c r="BR150" s="3"/>
      <c r="BS150" s="3"/>
      <c r="BT150" s="3"/>
      <c r="BU150" s="3"/>
    </row>
    <row r="151" spans="1:73" ht="15">
      <c r="A151"/>
      <c r="J151"/>
      <c r="AA151"/>
      <c r="AB151"/>
      <c r="AC151"/>
      <c r="AD151"/>
      <c r="AE151"/>
      <c r="AF151"/>
      <c r="AG151"/>
      <c r="AH151"/>
      <c r="BQ151" s="2"/>
      <c r="BR151" s="3"/>
      <c r="BS151" s="3"/>
      <c r="BT151" s="3"/>
      <c r="BU151" s="3"/>
    </row>
    <row r="152" spans="1:73" ht="15">
      <c r="A152"/>
      <c r="J152"/>
      <c r="AA152"/>
      <c r="AB152"/>
      <c r="AC152"/>
      <c r="AD152"/>
      <c r="AE152"/>
      <c r="AF152"/>
      <c r="AG152"/>
      <c r="AH152"/>
      <c r="BQ152" s="2"/>
      <c r="BR152" s="3"/>
      <c r="BS152" s="3"/>
      <c r="BT152" s="3"/>
      <c r="BU152" s="3"/>
    </row>
    <row r="153" spans="1:73" ht="15">
      <c r="A153"/>
      <c r="J153"/>
      <c r="AA153"/>
      <c r="AB153"/>
      <c r="AC153"/>
      <c r="AD153"/>
      <c r="AE153"/>
      <c r="AF153"/>
      <c r="AG153"/>
      <c r="AH153"/>
      <c r="BQ153" s="2"/>
      <c r="BR153" s="3"/>
      <c r="BS153" s="3"/>
      <c r="BT153" s="3"/>
      <c r="BU153" s="3"/>
    </row>
    <row r="154" spans="1:73" ht="15">
      <c r="A154"/>
      <c r="J154"/>
      <c r="AA154"/>
      <c r="AB154"/>
      <c r="AC154"/>
      <c r="AD154"/>
      <c r="AE154"/>
      <c r="AF154"/>
      <c r="AG154"/>
      <c r="AH154"/>
      <c r="BQ154" s="2"/>
      <c r="BR154" s="3"/>
      <c r="BS154" s="3"/>
      <c r="BT154" s="3"/>
      <c r="BU154" s="3"/>
    </row>
    <row r="155" spans="1:73" ht="15">
      <c r="A155"/>
      <c r="J155"/>
      <c r="AA155"/>
      <c r="AB155"/>
      <c r="AC155"/>
      <c r="AD155"/>
      <c r="AE155"/>
      <c r="AF155"/>
      <c r="AG155"/>
      <c r="AH155"/>
      <c r="BQ155" s="2"/>
      <c r="BR155" s="3"/>
      <c r="BS155" s="3"/>
      <c r="BT155" s="3"/>
      <c r="BU155" s="3"/>
    </row>
    <row r="156" spans="1:73" ht="15">
      <c r="A156"/>
      <c r="J156"/>
      <c r="AA156"/>
      <c r="AB156"/>
      <c r="AC156"/>
      <c r="AD156"/>
      <c r="AE156"/>
      <c r="AF156"/>
      <c r="AG156"/>
      <c r="AH156"/>
      <c r="BQ156" s="2"/>
      <c r="BR156" s="3"/>
      <c r="BS156" s="3"/>
      <c r="BT156" s="3"/>
      <c r="BU156" s="3"/>
    </row>
    <row r="157" spans="1:73" ht="15">
      <c r="A157"/>
      <c r="J157"/>
      <c r="AA157"/>
      <c r="AB157"/>
      <c r="AC157"/>
      <c r="AD157"/>
      <c r="AE157"/>
      <c r="AF157"/>
      <c r="AG157"/>
      <c r="AH157"/>
      <c r="BQ157" s="2"/>
      <c r="BR157" s="3"/>
      <c r="BS157" s="3"/>
      <c r="BT157" s="3"/>
      <c r="BU157" s="3"/>
    </row>
    <row r="158" spans="1:73" ht="15">
      <c r="A158"/>
      <c r="J158"/>
      <c r="AA158"/>
      <c r="AB158"/>
      <c r="AC158"/>
      <c r="AD158"/>
      <c r="AE158"/>
      <c r="AF158"/>
      <c r="AG158"/>
      <c r="AH158"/>
      <c r="BQ158" s="2"/>
      <c r="BR158" s="3"/>
      <c r="BS158" s="3"/>
      <c r="BT158" s="3"/>
      <c r="BU158" s="3"/>
    </row>
    <row r="159" spans="1:73" ht="15">
      <c r="A159"/>
      <c r="J159"/>
      <c r="AA159"/>
      <c r="AB159"/>
      <c r="AC159"/>
      <c r="AD159"/>
      <c r="AE159"/>
      <c r="AF159"/>
      <c r="AG159"/>
      <c r="AH159"/>
      <c r="BQ159" s="2"/>
      <c r="BR159" s="3"/>
      <c r="BS159" s="3"/>
      <c r="BT159" s="3"/>
      <c r="BU159" s="3"/>
    </row>
    <row r="160" spans="1:73" ht="15">
      <c r="A160"/>
      <c r="J160"/>
      <c r="AA160"/>
      <c r="AB160"/>
      <c r="AC160"/>
      <c r="AD160"/>
      <c r="AE160"/>
      <c r="AF160"/>
      <c r="AG160"/>
      <c r="AH160"/>
      <c r="BQ160" s="2"/>
      <c r="BR160" s="3"/>
      <c r="BS160" s="3"/>
      <c r="BT160" s="3"/>
      <c r="BU160" s="3"/>
    </row>
    <row r="161" spans="1:73" ht="15">
      <c r="A161"/>
      <c r="J161"/>
      <c r="AA161"/>
      <c r="AB161"/>
      <c r="AC161"/>
      <c r="AD161"/>
      <c r="AE161"/>
      <c r="AF161"/>
      <c r="AG161"/>
      <c r="AH161"/>
      <c r="BQ161" s="2"/>
      <c r="BR161" s="3"/>
      <c r="BS161" s="3"/>
      <c r="BT161" s="3"/>
      <c r="BU161" s="3"/>
    </row>
    <row r="162" spans="1:73" ht="15">
      <c r="A162"/>
      <c r="J162"/>
      <c r="AA162"/>
      <c r="AB162"/>
      <c r="AC162"/>
      <c r="AD162"/>
      <c r="AE162"/>
      <c r="AF162"/>
      <c r="AG162"/>
      <c r="AH162"/>
      <c r="BQ162" s="2"/>
      <c r="BR162" s="3"/>
      <c r="BS162" s="3"/>
      <c r="BT162" s="3"/>
      <c r="BU162" s="3"/>
    </row>
    <row r="163" spans="1:73" ht="15">
      <c r="A163"/>
      <c r="J163"/>
      <c r="AA163"/>
      <c r="AB163"/>
      <c r="AC163"/>
      <c r="AD163"/>
      <c r="AE163"/>
      <c r="AF163"/>
      <c r="AG163"/>
      <c r="AH163"/>
      <c r="BQ163" s="2"/>
      <c r="BR163" s="3"/>
      <c r="BS163" s="3"/>
      <c r="BT163" s="3"/>
      <c r="BU163" s="3"/>
    </row>
    <row r="164" spans="1:73" ht="15">
      <c r="A164"/>
      <c r="J164"/>
      <c r="AA164"/>
      <c r="AB164"/>
      <c r="AC164"/>
      <c r="AD164"/>
      <c r="AE164"/>
      <c r="AF164"/>
      <c r="AG164"/>
      <c r="AH164"/>
      <c r="BQ164" s="2"/>
      <c r="BR164" s="3"/>
      <c r="BS164" s="3"/>
      <c r="BT164" s="3"/>
      <c r="BU164" s="3"/>
    </row>
    <row r="165" spans="1:73" ht="15">
      <c r="A165"/>
      <c r="J165"/>
      <c r="AA165"/>
      <c r="AB165"/>
      <c r="AC165"/>
      <c r="AD165"/>
      <c r="AE165"/>
      <c r="AF165"/>
      <c r="AG165"/>
      <c r="AH165"/>
      <c r="BQ165" s="2"/>
      <c r="BR165" s="3"/>
      <c r="BS165" s="3"/>
      <c r="BT165" s="3"/>
      <c r="BU165" s="3"/>
    </row>
    <row r="166" spans="1:73" ht="15">
      <c r="A166"/>
      <c r="J166"/>
      <c r="AA166"/>
      <c r="AB166"/>
      <c r="AC166"/>
      <c r="AD166"/>
      <c r="AE166"/>
      <c r="AF166"/>
      <c r="AG166"/>
      <c r="AH166"/>
      <c r="BQ166" s="2"/>
      <c r="BR166" s="3"/>
      <c r="BS166" s="3"/>
      <c r="BT166" s="3"/>
      <c r="BU166" s="3"/>
    </row>
    <row r="167" spans="1:73" ht="15">
      <c r="A167"/>
      <c r="J167"/>
      <c r="AA167"/>
      <c r="AB167"/>
      <c r="AC167"/>
      <c r="AD167"/>
      <c r="AE167"/>
      <c r="AF167"/>
      <c r="AG167"/>
      <c r="AH167"/>
      <c r="BQ167" s="2"/>
      <c r="BR167" s="3"/>
      <c r="BS167" s="3"/>
      <c r="BT167" s="3"/>
      <c r="BU167" s="3"/>
    </row>
    <row r="168" spans="1:73" ht="15">
      <c r="A168"/>
      <c r="J168"/>
      <c r="AA168"/>
      <c r="AB168"/>
      <c r="AC168"/>
      <c r="AD168"/>
      <c r="AE168"/>
      <c r="AF168"/>
      <c r="AG168"/>
      <c r="AH168"/>
      <c r="BQ168" s="2"/>
      <c r="BR168" s="3"/>
      <c r="BS168" s="3"/>
      <c r="BT168" s="3"/>
      <c r="BU168" s="3"/>
    </row>
    <row r="169" spans="1:73" ht="15">
      <c r="A169"/>
      <c r="J169"/>
      <c r="AA169"/>
      <c r="AB169"/>
      <c r="AC169"/>
      <c r="AD169"/>
      <c r="AE169"/>
      <c r="AF169"/>
      <c r="AG169"/>
      <c r="AH169"/>
      <c r="BQ169" s="2"/>
      <c r="BR169" s="3"/>
      <c r="BS169" s="3"/>
      <c r="BT169" s="3"/>
      <c r="BU169" s="3"/>
    </row>
    <row r="170" spans="1:73" ht="15">
      <c r="A170"/>
      <c r="J170"/>
      <c r="AA170"/>
      <c r="AB170"/>
      <c r="AC170"/>
      <c r="AD170"/>
      <c r="AE170"/>
      <c r="AF170"/>
      <c r="AG170"/>
      <c r="AH170"/>
      <c r="BQ170" s="2"/>
      <c r="BR170" s="3"/>
      <c r="BS170" s="3"/>
      <c r="BT170" s="3"/>
      <c r="BU170" s="3"/>
    </row>
    <row r="171" spans="1:73" ht="15">
      <c r="A171"/>
      <c r="J171"/>
      <c r="AA171"/>
      <c r="AB171"/>
      <c r="AC171"/>
      <c r="AD171"/>
      <c r="AE171"/>
      <c r="AF171"/>
      <c r="AG171"/>
      <c r="AH171"/>
      <c r="BQ171" s="2"/>
      <c r="BR171" s="3"/>
      <c r="BS171" s="3"/>
      <c r="BT171" s="3"/>
      <c r="BU171" s="3"/>
    </row>
    <row r="172" spans="1:73" ht="15">
      <c r="A172"/>
      <c r="J172"/>
      <c r="AA172"/>
      <c r="AB172"/>
      <c r="AC172"/>
      <c r="AD172"/>
      <c r="AE172"/>
      <c r="AF172"/>
      <c r="AG172"/>
      <c r="AH172"/>
      <c r="BQ172" s="2"/>
      <c r="BR172" s="3"/>
      <c r="BS172" s="3"/>
      <c r="BT172" s="3"/>
      <c r="BU172" s="3"/>
    </row>
    <row r="173" spans="1:73" ht="15">
      <c r="A173"/>
      <c r="J173"/>
      <c r="AA173"/>
      <c r="AB173"/>
      <c r="AC173"/>
      <c r="AD173"/>
      <c r="AE173"/>
      <c r="AF173"/>
      <c r="AG173"/>
      <c r="AH173"/>
      <c r="BQ173" s="2"/>
      <c r="BR173" s="3"/>
      <c r="BS173" s="3"/>
      <c r="BT173" s="3"/>
      <c r="BU173" s="3"/>
    </row>
    <row r="174" spans="1:73" ht="15">
      <c r="A174"/>
      <c r="J174"/>
      <c r="AA174"/>
      <c r="AB174"/>
      <c r="AC174"/>
      <c r="AD174"/>
      <c r="AE174"/>
      <c r="AF174"/>
      <c r="AG174"/>
      <c r="AH174"/>
      <c r="BQ174" s="2"/>
      <c r="BR174" s="3"/>
      <c r="BS174" s="3"/>
      <c r="BT174" s="3"/>
      <c r="BU174" s="3"/>
    </row>
    <row r="175" spans="1:73" ht="15">
      <c r="A175"/>
      <c r="J175"/>
      <c r="AA175"/>
      <c r="AB175"/>
      <c r="AC175"/>
      <c r="AD175"/>
      <c r="AE175"/>
      <c r="AF175"/>
      <c r="AG175"/>
      <c r="AH175"/>
      <c r="BQ175" s="2"/>
      <c r="BR175" s="3"/>
      <c r="BS175" s="3"/>
      <c r="BT175" s="3"/>
      <c r="BU175" s="3"/>
    </row>
    <row r="176" spans="1:73" ht="15">
      <c r="A176"/>
      <c r="J176"/>
      <c r="AA176"/>
      <c r="AB176"/>
      <c r="AC176"/>
      <c r="AD176"/>
      <c r="AE176"/>
      <c r="AF176"/>
      <c r="AG176"/>
      <c r="AH176"/>
      <c r="BQ176" s="2"/>
      <c r="BR176" s="3"/>
      <c r="BS176" s="3"/>
      <c r="BT176" s="3"/>
      <c r="BU176" s="3"/>
    </row>
    <row r="177" spans="1:73" ht="15">
      <c r="A177"/>
      <c r="J177"/>
      <c r="AA177"/>
      <c r="AB177"/>
      <c r="AC177"/>
      <c r="AD177"/>
      <c r="AE177"/>
      <c r="AF177"/>
      <c r="AG177"/>
      <c r="AH177"/>
      <c r="BQ177" s="2"/>
      <c r="BR177" s="3"/>
      <c r="BS177" s="3"/>
      <c r="BT177" s="3"/>
      <c r="BU177" s="3"/>
    </row>
    <row r="178" spans="1:73" ht="15">
      <c r="A178"/>
      <c r="J178"/>
      <c r="AA178"/>
      <c r="AB178"/>
      <c r="AC178"/>
      <c r="AD178"/>
      <c r="AE178"/>
      <c r="AF178"/>
      <c r="AG178"/>
      <c r="AH178"/>
      <c r="BQ178" s="2"/>
      <c r="BR178" s="3"/>
      <c r="BS178" s="3"/>
      <c r="BT178" s="3"/>
      <c r="BU178" s="3"/>
    </row>
    <row r="179" spans="1:73" ht="15">
      <c r="A179"/>
      <c r="J179"/>
      <c r="AA179"/>
      <c r="AB179"/>
      <c r="AC179"/>
      <c r="AD179"/>
      <c r="AE179"/>
      <c r="AF179"/>
      <c r="AG179"/>
      <c r="AH179"/>
      <c r="BQ179" s="2"/>
      <c r="BR179" s="3"/>
      <c r="BS179" s="3"/>
      <c r="BT179" s="3"/>
      <c r="BU179" s="3"/>
    </row>
    <row r="180" spans="1:73" ht="15">
      <c r="A180"/>
      <c r="J180"/>
      <c r="AA180"/>
      <c r="AB180"/>
      <c r="AC180"/>
      <c r="AD180"/>
      <c r="AE180"/>
      <c r="AF180"/>
      <c r="AG180"/>
      <c r="AH180"/>
      <c r="BQ180" s="2"/>
      <c r="BR180" s="3"/>
      <c r="BS180" s="3"/>
      <c r="BT180" s="3"/>
      <c r="BU180" s="3"/>
    </row>
    <row r="181" spans="1:73" ht="15">
      <c r="A181"/>
      <c r="J181"/>
      <c r="AA181"/>
      <c r="AB181"/>
      <c r="AC181"/>
      <c r="AD181"/>
      <c r="AE181"/>
      <c r="AF181"/>
      <c r="AG181"/>
      <c r="AH181"/>
      <c r="BQ181" s="2"/>
      <c r="BR181" s="3"/>
      <c r="BS181" s="3"/>
      <c r="BT181" s="3"/>
      <c r="BU181" s="3"/>
    </row>
    <row r="182" spans="1:73" ht="15">
      <c r="A182"/>
      <c r="J182"/>
      <c r="AA182"/>
      <c r="AB182"/>
      <c r="AC182"/>
      <c r="AD182"/>
      <c r="AE182"/>
      <c r="AF182"/>
      <c r="AG182"/>
      <c r="AH182"/>
      <c r="BQ182" s="2"/>
      <c r="BR182" s="3"/>
      <c r="BS182" s="3"/>
      <c r="BT182" s="3"/>
      <c r="BU182" s="3"/>
    </row>
    <row r="183" spans="1:73" ht="15">
      <c r="A183"/>
      <c r="J183"/>
      <c r="AA183"/>
      <c r="AB183"/>
      <c r="AC183"/>
      <c r="AD183"/>
      <c r="AE183"/>
      <c r="AF183"/>
      <c r="AG183"/>
      <c r="AH183"/>
      <c r="BQ183" s="2"/>
      <c r="BR183" s="3"/>
      <c r="BS183" s="3"/>
      <c r="BT183" s="3"/>
      <c r="BU183" s="3"/>
    </row>
    <row r="184" spans="1:73" ht="15">
      <c r="A184"/>
      <c r="J184"/>
      <c r="AA184"/>
      <c r="AB184"/>
      <c r="AC184"/>
      <c r="AD184"/>
      <c r="AE184"/>
      <c r="AF184"/>
      <c r="AG184"/>
      <c r="AH184"/>
      <c r="BQ184" s="2"/>
      <c r="BR184" s="3"/>
      <c r="BS184" s="3"/>
      <c r="BT184" s="3"/>
      <c r="BU184" s="3"/>
    </row>
    <row r="185" spans="1:73" ht="15">
      <c r="A185"/>
      <c r="J185"/>
      <c r="AA185"/>
      <c r="AB185"/>
      <c r="AC185"/>
      <c r="AD185"/>
      <c r="AE185"/>
      <c r="AF185"/>
      <c r="AG185"/>
      <c r="AH185"/>
      <c r="BQ185" s="2"/>
      <c r="BR185" s="3"/>
      <c r="BS185" s="3"/>
      <c r="BT185" s="3"/>
      <c r="BU185" s="3"/>
    </row>
    <row r="186" spans="1:73" ht="15">
      <c r="A186"/>
      <c r="J186"/>
      <c r="AA186"/>
      <c r="AB186"/>
      <c r="AC186"/>
      <c r="AD186"/>
      <c r="AE186"/>
      <c r="AF186"/>
      <c r="AG186"/>
      <c r="AH186"/>
      <c r="BQ186" s="2"/>
      <c r="BR186" s="3"/>
      <c r="BS186" s="3"/>
      <c r="BT186" s="3"/>
      <c r="BU186" s="3"/>
    </row>
    <row r="187" spans="1:73" ht="15">
      <c r="A187"/>
      <c r="J187"/>
      <c r="AA187"/>
      <c r="AB187"/>
      <c r="AC187"/>
      <c r="AD187"/>
      <c r="AE187"/>
      <c r="AF187"/>
      <c r="AG187"/>
      <c r="AH187"/>
      <c r="BQ187" s="2"/>
      <c r="BR187" s="3"/>
      <c r="BS187" s="3"/>
      <c r="BT187" s="3"/>
      <c r="BU187" s="3"/>
    </row>
    <row r="188" spans="1:73" ht="15">
      <c r="A188"/>
      <c r="J188"/>
      <c r="AA188"/>
      <c r="AB188"/>
      <c r="AC188"/>
      <c r="AD188"/>
      <c r="AE188"/>
      <c r="AF188"/>
      <c r="AG188"/>
      <c r="AH188"/>
      <c r="BQ188" s="2"/>
      <c r="BR188" s="3"/>
      <c r="BS188" s="3"/>
      <c r="BT188" s="3"/>
      <c r="BU188" s="3"/>
    </row>
    <row r="189" spans="1:73" ht="15">
      <c r="A189"/>
      <c r="J189"/>
      <c r="AA189"/>
      <c r="AB189"/>
      <c r="AC189"/>
      <c r="AD189"/>
      <c r="AE189"/>
      <c r="AF189"/>
      <c r="AG189"/>
      <c r="AH189"/>
      <c r="BQ189" s="2"/>
      <c r="BR189" s="3"/>
      <c r="BS189" s="3"/>
      <c r="BT189" s="3"/>
      <c r="BU189" s="3"/>
    </row>
    <row r="190" spans="1:73" ht="15">
      <c r="A190"/>
      <c r="J190"/>
      <c r="AA190"/>
      <c r="AB190"/>
      <c r="AC190"/>
      <c r="AD190"/>
      <c r="AE190"/>
      <c r="AF190"/>
      <c r="AG190"/>
      <c r="AH190"/>
      <c r="BQ190" s="2"/>
      <c r="BR190" s="3"/>
      <c r="BS190" s="3"/>
      <c r="BT190" s="3"/>
      <c r="BU190" s="3"/>
    </row>
    <row r="191" spans="1:73" ht="15">
      <c r="A191"/>
      <c r="J191"/>
      <c r="AA191"/>
      <c r="AB191"/>
      <c r="AC191"/>
      <c r="AD191"/>
      <c r="AE191"/>
      <c r="AF191"/>
      <c r="AG191"/>
      <c r="AH191"/>
      <c r="BQ191" s="2"/>
      <c r="BR191" s="3"/>
      <c r="BS191" s="3"/>
      <c r="BT191" s="3"/>
      <c r="BU191" s="3"/>
    </row>
    <row r="192" spans="1:73" ht="15">
      <c r="A192"/>
      <c r="J192"/>
      <c r="AA192"/>
      <c r="AB192"/>
      <c r="AC192"/>
      <c r="AD192"/>
      <c r="AE192"/>
      <c r="AF192"/>
      <c r="AG192"/>
      <c r="AH192"/>
      <c r="BQ192" s="2"/>
      <c r="BR192" s="3"/>
      <c r="BS192" s="3"/>
      <c r="BT192" s="3"/>
      <c r="BU192" s="3"/>
    </row>
    <row r="193" spans="1:73" ht="15">
      <c r="A193"/>
      <c r="J193"/>
      <c r="AA193"/>
      <c r="AB193"/>
      <c r="AC193"/>
      <c r="AD193"/>
      <c r="AE193"/>
      <c r="AF193"/>
      <c r="AG193"/>
      <c r="AH193"/>
      <c r="BQ193" s="2"/>
      <c r="BR193" s="3"/>
      <c r="BS193" s="3"/>
      <c r="BT193" s="3"/>
      <c r="BU193" s="3"/>
    </row>
    <row r="194" spans="1:73" ht="15">
      <c r="A194"/>
      <c r="J194"/>
      <c r="AA194"/>
      <c r="AB194"/>
      <c r="AC194"/>
      <c r="AD194"/>
      <c r="AE194"/>
      <c r="AF194"/>
      <c r="AG194"/>
      <c r="AH194"/>
      <c r="BQ194" s="2"/>
      <c r="BR194" s="3"/>
      <c r="BS194" s="3"/>
      <c r="BT194" s="3"/>
      <c r="BU194" s="3"/>
    </row>
    <row r="195" spans="1:73" ht="15">
      <c r="A195"/>
      <c r="J195"/>
      <c r="AA195"/>
      <c r="AB195"/>
      <c r="AC195"/>
      <c r="AD195"/>
      <c r="AE195"/>
      <c r="AF195"/>
      <c r="AG195"/>
      <c r="AH195"/>
      <c r="BQ195" s="2"/>
      <c r="BR195" s="3"/>
      <c r="BS195" s="3"/>
      <c r="BT195" s="3"/>
      <c r="BU195" s="3"/>
    </row>
    <row r="196" spans="1:73" ht="15">
      <c r="A196"/>
      <c r="J196"/>
      <c r="AA196"/>
      <c r="AB196"/>
      <c r="AC196"/>
      <c r="AD196"/>
      <c r="AE196"/>
      <c r="AF196"/>
      <c r="AG196"/>
      <c r="AH196"/>
      <c r="BQ196" s="2"/>
      <c r="BR196" s="3"/>
      <c r="BS196" s="3"/>
      <c r="BT196" s="3"/>
      <c r="BU196" s="3"/>
    </row>
    <row r="197" spans="1:73" ht="15">
      <c r="A197"/>
      <c r="J197"/>
      <c r="AA197"/>
      <c r="AB197"/>
      <c r="AC197"/>
      <c r="AD197"/>
      <c r="AE197"/>
      <c r="AF197"/>
      <c r="AG197"/>
      <c r="AH197"/>
      <c r="BQ197" s="2"/>
      <c r="BR197" s="3"/>
      <c r="BS197" s="3"/>
      <c r="BT197" s="3"/>
      <c r="BU197" s="3"/>
    </row>
    <row r="198" spans="1:73" ht="15">
      <c r="A198"/>
      <c r="J198"/>
      <c r="AA198"/>
      <c r="AB198"/>
      <c r="AC198"/>
      <c r="AD198"/>
      <c r="AE198"/>
      <c r="AF198"/>
      <c r="AG198"/>
      <c r="AH198"/>
      <c r="BQ198" s="2"/>
      <c r="BR198" s="3"/>
      <c r="BS198" s="3"/>
      <c r="BT198" s="3"/>
      <c r="BU198" s="3"/>
    </row>
    <row r="199" spans="1:73" ht="15">
      <c r="A199"/>
      <c r="J199"/>
      <c r="AA199"/>
      <c r="AB199"/>
      <c r="AC199"/>
      <c r="AD199"/>
      <c r="AE199"/>
      <c r="AF199"/>
      <c r="AG199"/>
      <c r="AH199"/>
      <c r="BQ199" s="2"/>
      <c r="BR199" s="3"/>
      <c r="BS199" s="3"/>
      <c r="BT199" s="3"/>
      <c r="BU199" s="3"/>
    </row>
    <row r="200" spans="1:73" ht="15">
      <c r="A200"/>
      <c r="J200"/>
      <c r="AA200"/>
      <c r="AB200"/>
      <c r="AC200"/>
      <c r="AD200"/>
      <c r="AE200"/>
      <c r="AF200"/>
      <c r="AG200"/>
      <c r="AH200"/>
      <c r="BQ200" s="2"/>
      <c r="BR200" s="3"/>
      <c r="BS200" s="3"/>
      <c r="BT200" s="3"/>
      <c r="BU200" s="3"/>
    </row>
    <row r="201" spans="1:73" ht="15">
      <c r="A201"/>
      <c r="J201"/>
      <c r="AA201"/>
      <c r="AB201"/>
      <c r="AC201"/>
      <c r="AD201"/>
      <c r="AE201"/>
      <c r="AF201"/>
      <c r="AG201"/>
      <c r="AH201"/>
      <c r="BQ201" s="2"/>
      <c r="BR201" s="3"/>
      <c r="BS201" s="3"/>
      <c r="BT201" s="3"/>
      <c r="BU201" s="3"/>
    </row>
    <row r="202" spans="1:73" ht="15">
      <c r="A202"/>
      <c r="J202"/>
      <c r="AA202"/>
      <c r="AB202"/>
      <c r="AC202"/>
      <c r="AD202"/>
      <c r="AE202"/>
      <c r="AF202"/>
      <c r="AG202"/>
      <c r="AH202"/>
      <c r="BQ202" s="2"/>
      <c r="BR202" s="3"/>
      <c r="BS202" s="3"/>
      <c r="BT202" s="3"/>
      <c r="BU202" s="3"/>
    </row>
    <row r="203" spans="1:73" ht="15">
      <c r="A203"/>
      <c r="J203"/>
      <c r="AA203"/>
      <c r="AB203"/>
      <c r="AC203"/>
      <c r="AD203"/>
      <c r="AE203"/>
      <c r="AF203"/>
      <c r="AG203"/>
      <c r="AH203"/>
      <c r="BQ203" s="2"/>
      <c r="BR203" s="3"/>
      <c r="BS203" s="3"/>
      <c r="BT203" s="3"/>
      <c r="BU203" s="3"/>
    </row>
    <row r="204" spans="1:73" ht="15">
      <c r="A204"/>
      <c r="J204"/>
      <c r="AA204"/>
      <c r="AB204"/>
      <c r="AC204"/>
      <c r="AD204"/>
      <c r="AE204"/>
      <c r="AF204"/>
      <c r="AG204"/>
      <c r="AH204"/>
      <c r="BQ204" s="2"/>
      <c r="BR204" s="3"/>
      <c r="BS204" s="3"/>
      <c r="BT204" s="3"/>
      <c r="BU204" s="3"/>
    </row>
    <row r="205" spans="1:73" ht="15">
      <c r="A205"/>
      <c r="J205"/>
      <c r="AA205"/>
      <c r="AB205"/>
      <c r="AC205"/>
      <c r="AD205"/>
      <c r="AE205"/>
      <c r="AF205"/>
      <c r="AG205"/>
      <c r="AH205"/>
      <c r="BQ205" s="2"/>
      <c r="BR205" s="3"/>
      <c r="BS205" s="3"/>
      <c r="BT205" s="3"/>
      <c r="BU205" s="3"/>
    </row>
    <row r="206" spans="1:73" ht="15">
      <c r="A206"/>
      <c r="J206"/>
      <c r="AA206"/>
      <c r="AB206"/>
      <c r="AC206"/>
      <c r="AD206"/>
      <c r="AE206"/>
      <c r="AF206"/>
      <c r="AG206"/>
      <c r="AH206"/>
      <c r="BQ206" s="2"/>
      <c r="BR206" s="3"/>
      <c r="BS206" s="3"/>
      <c r="BT206" s="3"/>
      <c r="BU206" s="3"/>
    </row>
    <row r="207" spans="1:73" ht="15">
      <c r="A207"/>
      <c r="J207"/>
      <c r="AA207"/>
      <c r="AB207"/>
      <c r="AC207"/>
      <c r="AD207"/>
      <c r="AE207"/>
      <c r="AF207"/>
      <c r="AG207"/>
      <c r="AH207"/>
      <c r="BQ207" s="2"/>
      <c r="BR207" s="3"/>
      <c r="BS207" s="3"/>
      <c r="BT207" s="3"/>
      <c r="BU207" s="3"/>
    </row>
    <row r="208" spans="1:73" ht="15">
      <c r="A208"/>
      <c r="J208"/>
      <c r="AA208"/>
      <c r="AB208"/>
      <c r="AC208"/>
      <c r="AD208"/>
      <c r="AE208"/>
      <c r="AF208"/>
      <c r="AG208"/>
      <c r="AH208"/>
      <c r="BQ208" s="2"/>
      <c r="BR208" s="3"/>
      <c r="BS208" s="3"/>
      <c r="BT208" s="3"/>
      <c r="BU208" s="3"/>
    </row>
    <row r="209" spans="1:73" ht="15">
      <c r="A209"/>
      <c r="J209"/>
      <c r="AA209"/>
      <c r="AB209"/>
      <c r="AC209"/>
      <c r="AD209"/>
      <c r="AE209"/>
      <c r="AF209"/>
      <c r="AG209"/>
      <c r="AH209"/>
      <c r="BQ209" s="2"/>
      <c r="BR209" s="3"/>
      <c r="BS209" s="3"/>
      <c r="BT209" s="3"/>
      <c r="BU209" s="3"/>
    </row>
    <row r="210" spans="1:73" ht="15">
      <c r="A210"/>
      <c r="J210"/>
      <c r="AA210"/>
      <c r="AB210"/>
      <c r="AC210"/>
      <c r="AD210"/>
      <c r="AE210"/>
      <c r="AF210"/>
      <c r="AG210"/>
      <c r="AH210"/>
      <c r="BQ210" s="2"/>
      <c r="BR210" s="3"/>
      <c r="BS210" s="3"/>
      <c r="BT210" s="3"/>
      <c r="BU210" s="3"/>
    </row>
    <row r="211" spans="1:73" ht="15">
      <c r="A211"/>
      <c r="J211"/>
      <c r="AA211"/>
      <c r="AB211"/>
      <c r="AC211"/>
      <c r="AD211"/>
      <c r="AE211"/>
      <c r="AF211"/>
      <c r="AG211"/>
      <c r="AH211"/>
      <c r="BQ211" s="2"/>
      <c r="BR211" s="3"/>
      <c r="BS211" s="3"/>
      <c r="BT211" s="3"/>
      <c r="BU211" s="3"/>
    </row>
    <row r="212" spans="1:73" ht="15">
      <c r="A212"/>
      <c r="J212"/>
      <c r="AA212"/>
      <c r="AB212"/>
      <c r="AC212"/>
      <c r="AD212"/>
      <c r="AE212"/>
      <c r="AF212"/>
      <c r="AG212"/>
      <c r="AH212"/>
      <c r="BQ212" s="2"/>
      <c r="BR212" s="3"/>
      <c r="BS212" s="3"/>
      <c r="BT212" s="3"/>
      <c r="BU212" s="3"/>
    </row>
    <row r="213" spans="1:73" ht="15">
      <c r="A213"/>
      <c r="J213"/>
      <c r="AA213"/>
      <c r="AB213"/>
      <c r="AC213"/>
      <c r="AD213"/>
      <c r="AE213"/>
      <c r="AF213"/>
      <c r="AG213"/>
      <c r="AH213"/>
      <c r="BQ213" s="2"/>
      <c r="BR213" s="3"/>
      <c r="BS213" s="3"/>
      <c r="BT213" s="3"/>
      <c r="BU213" s="3"/>
    </row>
    <row r="214" spans="1:73" ht="15">
      <c r="A214"/>
      <c r="J214"/>
      <c r="AA214"/>
      <c r="AB214"/>
      <c r="AC214"/>
      <c r="AD214"/>
      <c r="AE214"/>
      <c r="AF214"/>
      <c r="AG214"/>
      <c r="AH214"/>
      <c r="BQ214" s="2"/>
      <c r="BR214" s="3"/>
      <c r="BS214" s="3"/>
      <c r="BT214" s="3"/>
      <c r="BU214" s="3"/>
    </row>
    <row r="215" spans="1:73" ht="15">
      <c r="A215"/>
      <c r="J215"/>
      <c r="AA215"/>
      <c r="AB215"/>
      <c r="AC215"/>
      <c r="AD215"/>
      <c r="AE215"/>
      <c r="AF215"/>
      <c r="AG215"/>
      <c r="AH215"/>
      <c r="BQ215" s="2"/>
      <c r="BR215" s="3"/>
      <c r="BS215" s="3"/>
      <c r="BT215" s="3"/>
      <c r="BU215" s="3"/>
    </row>
    <row r="216" spans="1:73" ht="15">
      <c r="A216"/>
      <c r="J216"/>
      <c r="AA216"/>
      <c r="AB216"/>
      <c r="AC216"/>
      <c r="AD216"/>
      <c r="AE216"/>
      <c r="AF216"/>
      <c r="AG216"/>
      <c r="AH216"/>
      <c r="BQ216" s="2"/>
      <c r="BR216" s="3"/>
      <c r="BS216" s="3"/>
      <c r="BT216" s="3"/>
      <c r="BU216" s="3"/>
    </row>
    <row r="217" spans="1:73" ht="15">
      <c r="A217"/>
      <c r="J217"/>
      <c r="AA217"/>
      <c r="AB217"/>
      <c r="AC217"/>
      <c r="AD217"/>
      <c r="AE217"/>
      <c r="AF217"/>
      <c r="AG217"/>
      <c r="AH217"/>
      <c r="BQ217" s="2"/>
      <c r="BR217" s="3"/>
      <c r="BS217" s="3"/>
      <c r="BT217" s="3"/>
      <c r="BU217" s="3"/>
    </row>
    <row r="218" spans="1:73" ht="15">
      <c r="A218"/>
      <c r="J218"/>
      <c r="AA218"/>
      <c r="AB218"/>
      <c r="AC218"/>
      <c r="AD218"/>
      <c r="AE218"/>
      <c r="AF218"/>
      <c r="AG218"/>
      <c r="AH218"/>
      <c r="BQ218" s="2"/>
      <c r="BR218" s="3"/>
      <c r="BS218" s="3"/>
      <c r="BT218" s="3"/>
      <c r="BU218" s="3"/>
    </row>
    <row r="219" spans="1:73" ht="15">
      <c r="A219"/>
      <c r="J219"/>
      <c r="AA219"/>
      <c r="AB219"/>
      <c r="AC219"/>
      <c r="AD219"/>
      <c r="AE219"/>
      <c r="AF219"/>
      <c r="AG219"/>
      <c r="AH219"/>
      <c r="BQ219" s="2"/>
      <c r="BR219" s="3"/>
      <c r="BS219" s="3"/>
      <c r="BT219" s="3"/>
      <c r="BU219" s="3"/>
    </row>
    <row r="220" spans="1:73" ht="15">
      <c r="A220"/>
      <c r="J220"/>
      <c r="AA220"/>
      <c r="AB220"/>
      <c r="AC220"/>
      <c r="AD220"/>
      <c r="AE220"/>
      <c r="AF220"/>
      <c r="AG220"/>
      <c r="AH220"/>
      <c r="BQ220" s="2"/>
      <c r="BR220" s="3"/>
      <c r="BS220" s="3"/>
      <c r="BT220" s="3"/>
      <c r="BU220" s="3"/>
    </row>
    <row r="221" spans="1:73" ht="15">
      <c r="A221"/>
      <c r="J221"/>
      <c r="AA221"/>
      <c r="AB221"/>
      <c r="AC221"/>
      <c r="AD221"/>
      <c r="AE221"/>
      <c r="AF221"/>
      <c r="AG221"/>
      <c r="AH221"/>
      <c r="BQ221" s="2"/>
      <c r="BR221" s="3"/>
      <c r="BS221" s="3"/>
      <c r="BT221" s="3"/>
      <c r="BU221" s="3"/>
    </row>
    <row r="222" spans="1:73" ht="15">
      <c r="A222"/>
      <c r="J222"/>
      <c r="AA222"/>
      <c r="AB222"/>
      <c r="AC222"/>
      <c r="AD222"/>
      <c r="AE222"/>
      <c r="AF222"/>
      <c r="AG222"/>
      <c r="AH222"/>
      <c r="BQ222" s="2"/>
      <c r="BR222" s="3"/>
      <c r="BS222" s="3"/>
      <c r="BT222" s="3"/>
      <c r="BU222" s="3"/>
    </row>
    <row r="223" spans="1:73" ht="15">
      <c r="A223"/>
      <c r="J223"/>
      <c r="AA223"/>
      <c r="AB223"/>
      <c r="AC223"/>
      <c r="AD223"/>
      <c r="AE223"/>
      <c r="AF223"/>
      <c r="AG223"/>
      <c r="AH223"/>
      <c r="BQ223" s="2"/>
      <c r="BR223" s="3"/>
      <c r="BS223" s="3"/>
      <c r="BT223" s="3"/>
      <c r="BU223" s="3"/>
    </row>
    <row r="224" spans="1:73" ht="15">
      <c r="A224"/>
      <c r="J224"/>
      <c r="AA224"/>
      <c r="AB224"/>
      <c r="AC224"/>
      <c r="AD224"/>
      <c r="AE224"/>
      <c r="AF224"/>
      <c r="AG224"/>
      <c r="AH224"/>
      <c r="BQ224" s="2"/>
      <c r="BR224" s="3"/>
      <c r="BS224" s="3"/>
      <c r="BT224" s="3"/>
      <c r="BU224" s="3"/>
    </row>
    <row r="225" spans="1:73" ht="15">
      <c r="A225"/>
      <c r="J225"/>
      <c r="AA225"/>
      <c r="AB225"/>
      <c r="AC225"/>
      <c r="AD225"/>
      <c r="AE225"/>
      <c r="AF225"/>
      <c r="AG225"/>
      <c r="AH225"/>
      <c r="BQ225" s="2"/>
      <c r="BR225" s="3"/>
      <c r="BS225" s="3"/>
      <c r="BT225" s="3"/>
      <c r="BU225" s="3"/>
    </row>
    <row r="226" spans="1:73" ht="15">
      <c r="A226"/>
      <c r="J226"/>
      <c r="AA226"/>
      <c r="AB226"/>
      <c r="AC226"/>
      <c r="AD226"/>
      <c r="AE226"/>
      <c r="AF226"/>
      <c r="AG226"/>
      <c r="AH226"/>
      <c r="BQ226" s="2"/>
      <c r="BR226" s="3"/>
      <c r="BS226" s="3"/>
      <c r="BT226" s="3"/>
      <c r="BU226" s="3"/>
    </row>
    <row r="227" spans="1:73" ht="15">
      <c r="A227"/>
      <c r="J227"/>
      <c r="AA227"/>
      <c r="AB227"/>
      <c r="AC227"/>
      <c r="AD227"/>
      <c r="AE227"/>
      <c r="AF227"/>
      <c r="AG227"/>
      <c r="AH227"/>
      <c r="BQ227" s="2"/>
      <c r="BR227" s="3"/>
      <c r="BS227" s="3"/>
      <c r="BT227" s="3"/>
      <c r="BU227" s="3"/>
    </row>
    <row r="228" spans="1:73" ht="15">
      <c r="A228"/>
      <c r="J228"/>
      <c r="AA228"/>
      <c r="AB228"/>
      <c r="AC228"/>
      <c r="AD228"/>
      <c r="AE228"/>
      <c r="AF228"/>
      <c r="AG228"/>
      <c r="AH228"/>
      <c r="BQ228" s="2"/>
      <c r="BR228" s="3"/>
      <c r="BS228" s="3"/>
      <c r="BT228" s="3"/>
      <c r="BU228" s="3"/>
    </row>
    <row r="229" spans="1:73" ht="15">
      <c r="A229"/>
      <c r="J229"/>
      <c r="AA229"/>
      <c r="AB229"/>
      <c r="AC229"/>
      <c r="AD229"/>
      <c r="AE229"/>
      <c r="AF229"/>
      <c r="AG229"/>
      <c r="AH229"/>
      <c r="BQ229" s="2"/>
      <c r="BR229" s="3"/>
      <c r="BS229" s="3"/>
      <c r="BT229" s="3"/>
      <c r="BU229" s="3"/>
    </row>
    <row r="230" spans="1:73" ht="15">
      <c r="A230"/>
      <c r="J230"/>
      <c r="AA230"/>
      <c r="AB230"/>
      <c r="AC230"/>
      <c r="AD230"/>
      <c r="AE230"/>
      <c r="AF230"/>
      <c r="AG230"/>
      <c r="AH230"/>
      <c r="BQ230" s="2"/>
      <c r="BR230" s="3"/>
      <c r="BS230" s="3"/>
      <c r="BT230" s="3"/>
      <c r="BU230" s="3"/>
    </row>
    <row r="231" spans="1:73" ht="15">
      <c r="A231"/>
      <c r="J231"/>
      <c r="AA231"/>
      <c r="AB231"/>
      <c r="AC231"/>
      <c r="AD231"/>
      <c r="AE231"/>
      <c r="AF231"/>
      <c r="AG231"/>
      <c r="AH231"/>
      <c r="BQ231" s="2"/>
      <c r="BR231" s="3"/>
      <c r="BS231" s="3"/>
      <c r="BT231" s="3"/>
      <c r="BU231" s="3"/>
    </row>
    <row r="232" spans="1:73" ht="15">
      <c r="A232"/>
      <c r="J232"/>
      <c r="AA232"/>
      <c r="AB232"/>
      <c r="AC232"/>
      <c r="AD232"/>
      <c r="AE232"/>
      <c r="AF232"/>
      <c r="AG232"/>
      <c r="AH232"/>
      <c r="BQ232" s="2"/>
      <c r="BR232" s="3"/>
      <c r="BS232" s="3"/>
      <c r="BT232" s="3"/>
      <c r="BU232" s="3"/>
    </row>
    <row r="233" spans="1:73" ht="15">
      <c r="A233"/>
      <c r="J233"/>
      <c r="AA233"/>
      <c r="AB233"/>
      <c r="AC233"/>
      <c r="AD233"/>
      <c r="AE233"/>
      <c r="AF233"/>
      <c r="AG233"/>
      <c r="AH233"/>
      <c r="BQ233" s="2"/>
      <c r="BR233" s="3"/>
      <c r="BS233" s="3"/>
      <c r="BT233" s="3"/>
      <c r="BU233" s="3"/>
    </row>
    <row r="234" spans="1:73" ht="15">
      <c r="A234"/>
      <c r="J234"/>
      <c r="AA234"/>
      <c r="AB234"/>
      <c r="AC234"/>
      <c r="AD234"/>
      <c r="AE234"/>
      <c r="AF234"/>
      <c r="AG234"/>
      <c r="AH234"/>
      <c r="BQ234" s="2"/>
      <c r="BR234" s="3"/>
      <c r="BS234" s="3"/>
      <c r="BT234" s="3"/>
      <c r="BU234" s="3"/>
    </row>
    <row r="235" spans="1:73" ht="15">
      <c r="A235"/>
      <c r="J235"/>
      <c r="AA235"/>
      <c r="AB235"/>
      <c r="AC235"/>
      <c r="AD235"/>
      <c r="AE235"/>
      <c r="AF235"/>
      <c r="AG235"/>
      <c r="AH235"/>
      <c r="BQ235" s="2"/>
      <c r="BR235" s="3"/>
      <c r="BS235" s="3"/>
      <c r="BT235" s="3"/>
      <c r="BU235" s="3"/>
    </row>
    <row r="236" spans="1:73" ht="15">
      <c r="A236"/>
      <c r="J236"/>
      <c r="AA236"/>
      <c r="AB236"/>
      <c r="AC236"/>
      <c r="AD236"/>
      <c r="AE236"/>
      <c r="AF236"/>
      <c r="AG236"/>
      <c r="AH236"/>
      <c r="BQ236" s="2"/>
      <c r="BR236" s="3"/>
      <c r="BS236" s="3"/>
      <c r="BT236" s="3"/>
      <c r="BU236" s="3"/>
    </row>
    <row r="237" spans="1:73" ht="15">
      <c r="A237"/>
      <c r="J237"/>
      <c r="AA237"/>
      <c r="AB237"/>
      <c r="AC237"/>
      <c r="AD237"/>
      <c r="AE237"/>
      <c r="AF237"/>
      <c r="AG237"/>
      <c r="AH237"/>
      <c r="BQ237" s="2"/>
      <c r="BR237" s="3"/>
      <c r="BS237" s="3"/>
      <c r="BT237" s="3"/>
      <c r="BU237" s="3"/>
    </row>
    <row r="238" spans="1:73" ht="15">
      <c r="A238"/>
      <c r="J238"/>
      <c r="AA238"/>
      <c r="AB238"/>
      <c r="AC238"/>
      <c r="AD238"/>
      <c r="AE238"/>
      <c r="AF238"/>
      <c r="AG238"/>
      <c r="AH238"/>
      <c r="BQ238" s="2"/>
      <c r="BR238" s="3"/>
      <c r="BS238" s="3"/>
      <c r="BT238" s="3"/>
      <c r="BU238" s="3"/>
    </row>
    <row r="239" spans="1:73" ht="15">
      <c r="A239"/>
      <c r="J239"/>
      <c r="AA239"/>
      <c r="AB239"/>
      <c r="AC239"/>
      <c r="AD239"/>
      <c r="AE239"/>
      <c r="AF239"/>
      <c r="AG239"/>
      <c r="AH239"/>
      <c r="BQ239" s="2"/>
      <c r="BR239" s="3"/>
      <c r="BS239" s="3"/>
      <c r="BT239" s="3"/>
      <c r="BU239" s="3"/>
    </row>
    <row r="240" spans="1:73" ht="15">
      <c r="A240"/>
      <c r="J240"/>
      <c r="AA240"/>
      <c r="AB240"/>
      <c r="AC240"/>
      <c r="AD240"/>
      <c r="AE240"/>
      <c r="AF240"/>
      <c r="AG240"/>
      <c r="AH240"/>
      <c r="BQ240" s="2"/>
      <c r="BR240" s="3"/>
      <c r="BS240" s="3"/>
      <c r="BT240" s="3"/>
      <c r="BU240" s="3"/>
    </row>
    <row r="241" spans="1:73" ht="15">
      <c r="A241"/>
      <c r="J241"/>
      <c r="AA241"/>
      <c r="AB241"/>
      <c r="AC241"/>
      <c r="AD241"/>
      <c r="AE241"/>
      <c r="AF241"/>
      <c r="AG241"/>
      <c r="AH241"/>
      <c r="BQ241" s="2"/>
      <c r="BR241" s="3"/>
      <c r="BS241" s="3"/>
      <c r="BT241" s="3"/>
      <c r="BU241" s="3"/>
    </row>
    <row r="242" spans="1:73" ht="15">
      <c r="A242"/>
      <c r="J242"/>
      <c r="AA242"/>
      <c r="AB242"/>
      <c r="AC242"/>
      <c r="AD242"/>
      <c r="AE242"/>
      <c r="AF242"/>
      <c r="AG242"/>
      <c r="AH242"/>
      <c r="BQ242" s="2"/>
      <c r="BR242" s="3"/>
      <c r="BS242" s="3"/>
      <c r="BT242" s="3"/>
      <c r="BU242" s="3"/>
    </row>
    <row r="243" spans="1:73" ht="15">
      <c r="A243"/>
      <c r="J243"/>
      <c r="AA243"/>
      <c r="AB243"/>
      <c r="AC243"/>
      <c r="AD243"/>
      <c r="AE243"/>
      <c r="AF243"/>
      <c r="AG243"/>
      <c r="AH243"/>
      <c r="BQ243" s="2"/>
      <c r="BR243" s="3"/>
      <c r="BS243" s="3"/>
      <c r="BT243" s="3"/>
      <c r="BU243" s="3"/>
    </row>
    <row r="244" spans="1:73" ht="15">
      <c r="A244"/>
      <c r="J244"/>
      <c r="AA244"/>
      <c r="AB244"/>
      <c r="AC244"/>
      <c r="AD244"/>
      <c r="AE244"/>
      <c r="AF244"/>
      <c r="AG244"/>
      <c r="AH244"/>
      <c r="BQ244" s="2"/>
      <c r="BR244" s="3"/>
      <c r="BS244" s="3"/>
      <c r="BT244" s="3"/>
      <c r="BU244" s="3"/>
    </row>
    <row r="245" spans="1:73" ht="15">
      <c r="A245"/>
      <c r="J245"/>
      <c r="AA245"/>
      <c r="AB245"/>
      <c r="AC245"/>
      <c r="AD245"/>
      <c r="AE245"/>
      <c r="AF245"/>
      <c r="AG245"/>
      <c r="AH245"/>
      <c r="BQ245" s="2"/>
      <c r="BR245" s="3"/>
      <c r="BS245" s="3"/>
      <c r="BT245" s="3"/>
      <c r="BU245" s="3"/>
    </row>
    <row r="246" spans="1:73" ht="15">
      <c r="A246"/>
      <c r="J246"/>
      <c r="AA246"/>
      <c r="AB246"/>
      <c r="AC246"/>
      <c r="AD246"/>
      <c r="AE246"/>
      <c r="AF246"/>
      <c r="AG246"/>
      <c r="AH246"/>
      <c r="BQ246" s="2"/>
      <c r="BR246" s="3"/>
      <c r="BS246" s="3"/>
      <c r="BT246" s="3"/>
      <c r="BU246" s="3"/>
    </row>
    <row r="247" spans="1:73" ht="15">
      <c r="A247"/>
      <c r="J247"/>
      <c r="AA247"/>
      <c r="AB247"/>
      <c r="AC247"/>
      <c r="AD247"/>
      <c r="AE247"/>
      <c r="AF247"/>
      <c r="AG247"/>
      <c r="AH247"/>
      <c r="BQ247" s="2"/>
      <c r="BR247" s="3"/>
      <c r="BS247" s="3"/>
      <c r="BT247" s="3"/>
      <c r="BU247" s="3"/>
    </row>
    <row r="248" spans="1:73" ht="15">
      <c r="A248"/>
      <c r="J248"/>
      <c r="AA248"/>
      <c r="AB248"/>
      <c r="AC248"/>
      <c r="AD248"/>
      <c r="AE248"/>
      <c r="AF248"/>
      <c r="AG248"/>
      <c r="AH248"/>
      <c r="BQ248" s="2"/>
      <c r="BR248" s="3"/>
      <c r="BS248" s="3"/>
      <c r="BT248" s="3"/>
      <c r="BU248" s="3"/>
    </row>
    <row r="249" spans="1:73" ht="15">
      <c r="A249"/>
      <c r="J249"/>
      <c r="AA249"/>
      <c r="AB249"/>
      <c r="AC249"/>
      <c r="AD249"/>
      <c r="AE249"/>
      <c r="AF249"/>
      <c r="AG249"/>
      <c r="AH249"/>
      <c r="BQ249" s="2"/>
      <c r="BR249" s="3"/>
      <c r="BS249" s="3"/>
      <c r="BT249" s="3"/>
      <c r="BU249" s="3"/>
    </row>
    <row r="250" spans="1:73" ht="15">
      <c r="A250"/>
      <c r="J250"/>
      <c r="AA250"/>
      <c r="AB250"/>
      <c r="AC250"/>
      <c r="AD250"/>
      <c r="AE250"/>
      <c r="AF250"/>
      <c r="AG250"/>
      <c r="AH250"/>
      <c r="BQ250" s="2"/>
      <c r="BR250" s="3"/>
      <c r="BS250" s="3"/>
      <c r="BT250" s="3"/>
      <c r="BU250" s="3"/>
    </row>
    <row r="251" spans="1:73" ht="15">
      <c r="A251"/>
      <c r="J251"/>
      <c r="AA251"/>
      <c r="AB251"/>
      <c r="AC251"/>
      <c r="AD251"/>
      <c r="AE251"/>
      <c r="AF251"/>
      <c r="AG251"/>
      <c r="AH251"/>
      <c r="BQ251" s="2"/>
      <c r="BR251" s="3"/>
      <c r="BS251" s="3"/>
      <c r="BT251" s="3"/>
      <c r="BU251" s="3"/>
    </row>
    <row r="252" spans="1:73" ht="15">
      <c r="A252"/>
      <c r="J252"/>
      <c r="AA252"/>
      <c r="AB252"/>
      <c r="AC252"/>
      <c r="AD252"/>
      <c r="AE252"/>
      <c r="AF252"/>
      <c r="AG252"/>
      <c r="AH252"/>
      <c r="BQ252" s="2"/>
      <c r="BR252" s="3"/>
      <c r="BS252" s="3"/>
      <c r="BT252" s="3"/>
      <c r="BU252" s="3"/>
    </row>
    <row r="253" spans="1:73" ht="15">
      <c r="A253"/>
      <c r="J253"/>
      <c r="AA253"/>
      <c r="AB253"/>
      <c r="AC253"/>
      <c r="AD253"/>
      <c r="AE253"/>
      <c r="AF253"/>
      <c r="AG253"/>
      <c r="AH253"/>
      <c r="BQ253" s="2"/>
      <c r="BR253" s="3"/>
      <c r="BS253" s="3"/>
      <c r="BT253" s="3"/>
      <c r="BU253" s="3"/>
    </row>
    <row r="254" spans="1:73" ht="15">
      <c r="A254"/>
      <c r="J254"/>
      <c r="AA254"/>
      <c r="AB254"/>
      <c r="AC254"/>
      <c r="AD254"/>
      <c r="AE254"/>
      <c r="AF254"/>
      <c r="AG254"/>
      <c r="AH254"/>
      <c r="BQ254" s="2"/>
      <c r="BR254" s="3"/>
      <c r="BS254" s="3"/>
      <c r="BT254" s="3"/>
      <c r="BU254" s="3"/>
    </row>
    <row r="255" spans="1:73" ht="15">
      <c r="A255"/>
      <c r="J255"/>
      <c r="AA255"/>
      <c r="AB255"/>
      <c r="AC255"/>
      <c r="AD255"/>
      <c r="AE255"/>
      <c r="AF255"/>
      <c r="AG255"/>
      <c r="AH255"/>
      <c r="BQ255" s="2"/>
      <c r="BR255" s="3"/>
      <c r="BS255" s="3"/>
      <c r="BT255" s="3"/>
      <c r="BU255" s="3"/>
    </row>
    <row r="256" spans="1:73" ht="15">
      <c r="A256"/>
      <c r="J256"/>
      <c r="AA256"/>
      <c r="AB256"/>
      <c r="AC256"/>
      <c r="AD256"/>
      <c r="AE256"/>
      <c r="AF256"/>
      <c r="AG256"/>
      <c r="AH256"/>
      <c r="BQ256" s="2"/>
      <c r="BR256" s="3"/>
      <c r="BS256" s="3"/>
      <c r="BT256" s="3"/>
      <c r="BU256" s="3"/>
    </row>
    <row r="257" spans="1:73" ht="15">
      <c r="A257"/>
      <c r="J257"/>
      <c r="AA257"/>
      <c r="AB257"/>
      <c r="AC257"/>
      <c r="AD257"/>
      <c r="AE257"/>
      <c r="AF257"/>
      <c r="AG257"/>
      <c r="AH257"/>
      <c r="BQ257" s="2"/>
      <c r="BR257" s="3"/>
      <c r="BS257" s="3"/>
      <c r="BT257" s="3"/>
      <c r="BU257" s="3"/>
    </row>
    <row r="258" spans="1:73" ht="15">
      <c r="A258"/>
      <c r="J258"/>
      <c r="AA258"/>
      <c r="AB258"/>
      <c r="AC258"/>
      <c r="AD258"/>
      <c r="AE258"/>
      <c r="AF258"/>
      <c r="AG258"/>
      <c r="AH258"/>
      <c r="BQ258" s="2"/>
      <c r="BR258" s="3"/>
      <c r="BS258" s="3"/>
      <c r="BT258" s="3"/>
      <c r="BU258" s="3"/>
    </row>
    <row r="259" spans="1:73" ht="15">
      <c r="A259"/>
      <c r="J259"/>
      <c r="AA259"/>
      <c r="AB259"/>
      <c r="AC259"/>
      <c r="AD259"/>
      <c r="AE259"/>
      <c r="AF259"/>
      <c r="AG259"/>
      <c r="AH259"/>
      <c r="BQ259" s="2"/>
      <c r="BR259" s="3"/>
      <c r="BS259" s="3"/>
      <c r="BT259" s="3"/>
      <c r="BU259" s="3"/>
    </row>
    <row r="260" spans="1:73" ht="15">
      <c r="A260"/>
      <c r="J260"/>
      <c r="AA260"/>
      <c r="AB260"/>
      <c r="AC260"/>
      <c r="AD260"/>
      <c r="AE260"/>
      <c r="AF260"/>
      <c r="AG260"/>
      <c r="AH260"/>
      <c r="BQ260" s="2"/>
      <c r="BR260" s="3"/>
      <c r="BS260" s="3"/>
      <c r="BT260" s="3"/>
      <c r="BU260" s="3"/>
    </row>
    <row r="261" spans="1:73" ht="15">
      <c r="A261"/>
      <c r="J261"/>
      <c r="AA261"/>
      <c r="AB261"/>
      <c r="AC261"/>
      <c r="AD261"/>
      <c r="AE261"/>
      <c r="AF261"/>
      <c r="AG261"/>
      <c r="AH261"/>
      <c r="BQ261" s="2"/>
      <c r="BR261" s="3"/>
      <c r="BS261" s="3"/>
      <c r="BT261" s="3"/>
      <c r="BU261" s="3"/>
    </row>
    <row r="262" spans="1:73" ht="15">
      <c r="A262"/>
      <c r="J262"/>
      <c r="AA262"/>
      <c r="AB262"/>
      <c r="AC262"/>
      <c r="AD262"/>
      <c r="AE262"/>
      <c r="AF262"/>
      <c r="AG262"/>
      <c r="AH262"/>
      <c r="BQ262" s="2"/>
      <c r="BR262" s="3"/>
      <c r="BS262" s="3"/>
      <c r="BT262" s="3"/>
      <c r="BU262" s="3"/>
    </row>
    <row r="263" spans="1:73" ht="15">
      <c r="A263"/>
      <c r="J263"/>
      <c r="AA263"/>
      <c r="AB263"/>
      <c r="AC263"/>
      <c r="AD263"/>
      <c r="AE263"/>
      <c r="AF263"/>
      <c r="AG263"/>
      <c r="AH263"/>
      <c r="BQ263" s="2"/>
      <c r="BR263" s="3"/>
      <c r="BS263" s="3"/>
      <c r="BT263" s="3"/>
      <c r="BU263" s="3"/>
    </row>
    <row r="264" spans="1:73" ht="15">
      <c r="A264"/>
      <c r="J264"/>
      <c r="AA264"/>
      <c r="AB264"/>
      <c r="AC264"/>
      <c r="AD264"/>
      <c r="AE264"/>
      <c r="AF264"/>
      <c r="AG264"/>
      <c r="AH264"/>
      <c r="BQ264" s="2"/>
      <c r="BR264" s="3"/>
      <c r="BS264" s="3"/>
      <c r="BT264" s="3"/>
      <c r="BU264" s="3"/>
    </row>
    <row r="265" spans="1:73" ht="15">
      <c r="A265"/>
      <c r="J265"/>
      <c r="AA265"/>
      <c r="AB265"/>
      <c r="AC265"/>
      <c r="AD265"/>
      <c r="AE265"/>
      <c r="AF265"/>
      <c r="AG265"/>
      <c r="AH265"/>
      <c r="BQ265" s="2"/>
      <c r="BR265" s="3"/>
      <c r="BS265" s="3"/>
      <c r="BT265" s="3"/>
      <c r="BU265" s="3"/>
    </row>
    <row r="266" spans="1:73" ht="15">
      <c r="A266"/>
      <c r="J266"/>
      <c r="AA266"/>
      <c r="AB266"/>
      <c r="AC266"/>
      <c r="AD266"/>
      <c r="AE266"/>
      <c r="AF266"/>
      <c r="AG266"/>
      <c r="AH266"/>
      <c r="BQ266" s="2"/>
      <c r="BR266" s="3"/>
      <c r="BS266" s="3"/>
      <c r="BT266" s="3"/>
      <c r="BU266" s="3"/>
    </row>
    <row r="267" spans="1:73" ht="15">
      <c r="A267"/>
      <c r="J267"/>
      <c r="AA267"/>
      <c r="AB267"/>
      <c r="AC267"/>
      <c r="AD267"/>
      <c r="AE267"/>
      <c r="AF267"/>
      <c r="AG267"/>
      <c r="AH267"/>
      <c r="BQ267" s="2"/>
      <c r="BR267" s="3"/>
      <c r="BS267" s="3"/>
      <c r="BT267" s="3"/>
      <c r="BU267" s="3"/>
    </row>
    <row r="268" spans="1:73" ht="15">
      <c r="A268"/>
      <c r="J268"/>
      <c r="AA268"/>
      <c r="AB268"/>
      <c r="AC268"/>
      <c r="AD268"/>
      <c r="AE268"/>
      <c r="AF268"/>
      <c r="AG268"/>
      <c r="AH268"/>
      <c r="BQ268" s="2"/>
      <c r="BR268" s="3"/>
      <c r="BS268" s="3"/>
      <c r="BT268" s="3"/>
      <c r="BU268" s="3"/>
    </row>
    <row r="269" spans="1:73" ht="15">
      <c r="A269"/>
      <c r="J269"/>
      <c r="AA269"/>
      <c r="AB269"/>
      <c r="AC269"/>
      <c r="AD269"/>
      <c r="AE269"/>
      <c r="AF269"/>
      <c r="AG269"/>
      <c r="AH269"/>
      <c r="BQ269" s="2"/>
      <c r="BR269" s="3"/>
      <c r="BS269" s="3"/>
      <c r="BT269" s="3"/>
      <c r="BU269" s="3"/>
    </row>
    <row r="270" spans="1:73" ht="15">
      <c r="A270"/>
      <c r="J270"/>
      <c r="AA270"/>
      <c r="AB270"/>
      <c r="AC270"/>
      <c r="AD270"/>
      <c r="AE270"/>
      <c r="AF270"/>
      <c r="AG270"/>
      <c r="AH270"/>
      <c r="BQ270" s="2"/>
      <c r="BR270" s="3"/>
      <c r="BS270" s="3"/>
      <c r="BT270" s="3"/>
      <c r="BU270" s="3"/>
    </row>
    <row r="271" spans="1:73" ht="15">
      <c r="A271"/>
      <c r="J271"/>
      <c r="AA271"/>
      <c r="AB271"/>
      <c r="AC271"/>
      <c r="AD271"/>
      <c r="AE271"/>
      <c r="AF271"/>
      <c r="AG271"/>
      <c r="AH271"/>
      <c r="BQ271" s="2"/>
      <c r="BR271" s="3"/>
      <c r="BS271" s="3"/>
      <c r="BT271" s="3"/>
      <c r="BU271" s="3"/>
    </row>
    <row r="272" spans="1:73" ht="15">
      <c r="A272"/>
      <c r="J272"/>
      <c r="AA272"/>
      <c r="AB272"/>
      <c r="AC272"/>
      <c r="AD272"/>
      <c r="AE272"/>
      <c r="AF272"/>
      <c r="AG272"/>
      <c r="AH272"/>
      <c r="BQ272" s="2"/>
      <c r="BR272" s="3"/>
      <c r="BS272" s="3"/>
      <c r="BT272" s="3"/>
      <c r="BU272" s="3"/>
    </row>
    <row r="273" spans="1:73" ht="15">
      <c r="A273"/>
      <c r="J273"/>
      <c r="AA273"/>
      <c r="AB273"/>
      <c r="AC273"/>
      <c r="AD273"/>
      <c r="AE273"/>
      <c r="AF273"/>
      <c r="AG273"/>
      <c r="AH273"/>
      <c r="BQ273" s="2"/>
      <c r="BR273" s="3"/>
      <c r="BS273" s="3"/>
      <c r="BT273" s="3"/>
      <c r="BU273" s="3"/>
    </row>
    <row r="274" spans="1:73" ht="15">
      <c r="A274"/>
      <c r="J274"/>
      <c r="AA274"/>
      <c r="AB274"/>
      <c r="AC274"/>
      <c r="AD274"/>
      <c r="AE274"/>
      <c r="AF274"/>
      <c r="AG274"/>
      <c r="AH274"/>
      <c r="BQ274" s="2"/>
      <c r="BR274" s="3"/>
      <c r="BS274" s="3"/>
      <c r="BT274" s="3"/>
      <c r="BU274" s="3"/>
    </row>
    <row r="275" spans="1:73" ht="15">
      <c r="A275"/>
      <c r="J275"/>
      <c r="AA275"/>
      <c r="AB275"/>
      <c r="AC275"/>
      <c r="AD275"/>
      <c r="AE275"/>
      <c r="AF275"/>
      <c r="AG275"/>
      <c r="AH275"/>
      <c r="BQ275" s="2"/>
      <c r="BR275" s="3"/>
      <c r="BS275" s="3"/>
      <c r="BT275" s="3"/>
      <c r="BU275" s="3"/>
    </row>
    <row r="276" spans="1:73" ht="15">
      <c r="A276"/>
      <c r="J276"/>
      <c r="AA276"/>
      <c r="AB276"/>
      <c r="AC276"/>
      <c r="AD276"/>
      <c r="AE276"/>
      <c r="AF276"/>
      <c r="AG276"/>
      <c r="AH276"/>
      <c r="BQ276" s="2"/>
      <c r="BR276" s="3"/>
      <c r="BS276" s="3"/>
      <c r="BT276" s="3"/>
      <c r="BU276" s="3"/>
    </row>
    <row r="277" spans="1:73" ht="15">
      <c r="A277"/>
      <c r="J277"/>
      <c r="AA277"/>
      <c r="AB277"/>
      <c r="AC277"/>
      <c r="AD277"/>
      <c r="AE277"/>
      <c r="AF277"/>
      <c r="AG277"/>
      <c r="AH277"/>
      <c r="BQ277" s="2"/>
      <c r="BR277" s="3"/>
      <c r="BS277" s="3"/>
      <c r="BT277" s="3"/>
      <c r="BU277" s="3"/>
    </row>
    <row r="278" spans="1:73" ht="15">
      <c r="A278"/>
      <c r="J278"/>
      <c r="AA278"/>
      <c r="AB278"/>
      <c r="AC278"/>
      <c r="AD278"/>
      <c r="AE278"/>
      <c r="AF278"/>
      <c r="AG278"/>
      <c r="AH278"/>
      <c r="BQ278" s="2"/>
      <c r="BR278" s="3"/>
      <c r="BS278" s="3"/>
      <c r="BT278" s="3"/>
      <c r="BU278" s="3"/>
    </row>
    <row r="279" spans="1:73" ht="15">
      <c r="A279"/>
      <c r="J279"/>
      <c r="AA279"/>
      <c r="AB279"/>
      <c r="AC279"/>
      <c r="AD279"/>
      <c r="AE279"/>
      <c r="AF279"/>
      <c r="AG279"/>
      <c r="AH279"/>
      <c r="BQ279" s="2"/>
      <c r="BR279" s="3"/>
      <c r="BS279" s="3"/>
      <c r="BT279" s="3"/>
      <c r="BU279" s="3"/>
    </row>
    <row r="280" spans="1:73" ht="15">
      <c r="A280"/>
      <c r="J280"/>
      <c r="AA280"/>
      <c r="AB280"/>
      <c r="AC280"/>
      <c r="AD280"/>
      <c r="AE280"/>
      <c r="AF280"/>
      <c r="AG280"/>
      <c r="AH280"/>
      <c r="BQ280" s="2"/>
      <c r="BR280" s="3"/>
      <c r="BS280" s="3"/>
      <c r="BT280" s="3"/>
      <c r="BU280" s="3"/>
    </row>
    <row r="281" spans="1:73" ht="15">
      <c r="A281"/>
      <c r="J281"/>
      <c r="AA281"/>
      <c r="AB281"/>
      <c r="AC281"/>
      <c r="AD281"/>
      <c r="AE281"/>
      <c r="AF281"/>
      <c r="AG281"/>
      <c r="AH281"/>
      <c r="BQ281" s="2"/>
      <c r="BR281" s="3"/>
      <c r="BS281" s="3"/>
      <c r="BT281" s="3"/>
      <c r="BU281" s="3"/>
    </row>
    <row r="282" spans="1:73" ht="15">
      <c r="A282"/>
      <c r="J282"/>
      <c r="AA282"/>
      <c r="AB282"/>
      <c r="AC282"/>
      <c r="AD282"/>
      <c r="AE282"/>
      <c r="AF282"/>
      <c r="AG282"/>
      <c r="AH282"/>
      <c r="BQ282" s="2"/>
      <c r="BR282" s="3"/>
      <c r="BS282" s="3"/>
      <c r="BT282" s="3"/>
      <c r="BU282" s="3"/>
    </row>
    <row r="283" spans="1:73" ht="15">
      <c r="A283"/>
      <c r="J283"/>
      <c r="AA283"/>
      <c r="AB283"/>
      <c r="AC283"/>
      <c r="AD283"/>
      <c r="AE283"/>
      <c r="AF283"/>
      <c r="AG283"/>
      <c r="AH283"/>
      <c r="BQ283" s="2"/>
      <c r="BR283" s="3"/>
      <c r="BS283" s="3"/>
      <c r="BT283" s="3"/>
      <c r="BU283" s="3"/>
    </row>
    <row r="284" spans="1:73" ht="15">
      <c r="A284"/>
      <c r="J284"/>
      <c r="AA284"/>
      <c r="AB284"/>
      <c r="AC284"/>
      <c r="AD284"/>
      <c r="AE284"/>
      <c r="AF284"/>
      <c r="AG284"/>
      <c r="AH284"/>
      <c r="BQ284" s="2"/>
      <c r="BR284" s="3"/>
      <c r="BS284" s="3"/>
      <c r="BT284" s="3"/>
      <c r="BU284" s="3"/>
    </row>
    <row r="285" spans="1:73" ht="15">
      <c r="A285"/>
      <c r="J285"/>
      <c r="AA285"/>
      <c r="AB285"/>
      <c r="AC285"/>
      <c r="AD285"/>
      <c r="AE285"/>
      <c r="AF285"/>
      <c r="AG285"/>
      <c r="AH285"/>
      <c r="BQ285" s="2"/>
      <c r="BR285" s="3"/>
      <c r="BS285" s="3"/>
      <c r="BT285" s="3"/>
      <c r="BU285" s="3"/>
    </row>
    <row r="286" spans="1:73" ht="15">
      <c r="A286"/>
      <c r="J286"/>
      <c r="AA286"/>
      <c r="AB286"/>
      <c r="AC286"/>
      <c r="AD286"/>
      <c r="AE286"/>
      <c r="AF286"/>
      <c r="AG286"/>
      <c r="AH286"/>
      <c r="BQ286" s="2"/>
      <c r="BR286" s="3"/>
      <c r="BS286" s="3"/>
      <c r="BT286" s="3"/>
      <c r="BU286" s="3"/>
    </row>
    <row r="287" spans="1:73" ht="15">
      <c r="A287"/>
      <c r="J287"/>
      <c r="AA287"/>
      <c r="AB287"/>
      <c r="AC287"/>
      <c r="AD287"/>
      <c r="AE287"/>
      <c r="AF287"/>
      <c r="AG287"/>
      <c r="AH287"/>
      <c r="BQ287" s="2"/>
      <c r="BR287" s="3"/>
      <c r="BS287" s="3"/>
      <c r="BT287" s="3"/>
      <c r="BU287" s="3"/>
    </row>
    <row r="288" spans="1:73" ht="15">
      <c r="A288"/>
      <c r="J288"/>
      <c r="AA288"/>
      <c r="AB288"/>
      <c r="AC288"/>
      <c r="AD288"/>
      <c r="AE288"/>
      <c r="AF288"/>
      <c r="AG288"/>
      <c r="AH288"/>
      <c r="BQ288" s="2"/>
      <c r="BR288" s="3"/>
      <c r="BS288" s="3"/>
      <c r="BT288" s="3"/>
      <c r="BU288" s="3"/>
    </row>
    <row r="289" spans="1:73" ht="15">
      <c r="A289"/>
      <c r="J289"/>
      <c r="AA289"/>
      <c r="AB289"/>
      <c r="AC289"/>
      <c r="AD289"/>
      <c r="AE289"/>
      <c r="AF289"/>
      <c r="AG289"/>
      <c r="AH289"/>
      <c r="BQ289" s="2"/>
      <c r="BR289" s="3"/>
      <c r="BS289" s="3"/>
      <c r="BT289" s="3"/>
      <c r="BU289" s="3"/>
    </row>
    <row r="290" spans="1:73" ht="15">
      <c r="A290"/>
      <c r="J290"/>
      <c r="AA290"/>
      <c r="AB290"/>
      <c r="AC290"/>
      <c r="AD290"/>
      <c r="AE290"/>
      <c r="AF290"/>
      <c r="AG290"/>
      <c r="AH290"/>
      <c r="BQ290" s="2"/>
      <c r="BR290" s="3"/>
      <c r="BS290" s="3"/>
      <c r="BT290" s="3"/>
      <c r="BU290" s="3"/>
    </row>
    <row r="291" spans="1:73" ht="15">
      <c r="A291"/>
      <c r="J291"/>
      <c r="AA291"/>
      <c r="AB291"/>
      <c r="AC291"/>
      <c r="AD291"/>
      <c r="AE291"/>
      <c r="AF291"/>
      <c r="AG291"/>
      <c r="AH291"/>
      <c r="BQ291" s="2"/>
      <c r="BR291" s="3"/>
      <c r="BS291" s="3"/>
      <c r="BT291" s="3"/>
      <c r="BU291" s="3"/>
    </row>
    <row r="292" spans="1:73" ht="15">
      <c r="A292"/>
      <c r="J292"/>
      <c r="AA292"/>
      <c r="AB292"/>
      <c r="AC292"/>
      <c r="AD292"/>
      <c r="AE292"/>
      <c r="AF292"/>
      <c r="AG292"/>
      <c r="AH292"/>
      <c r="BQ292" s="2"/>
      <c r="BR292" s="3"/>
      <c r="BS292" s="3"/>
      <c r="BT292" s="3"/>
      <c r="BU292" s="3"/>
    </row>
    <row r="293" spans="1:73" ht="15">
      <c r="A293"/>
      <c r="J293"/>
      <c r="AA293"/>
      <c r="AB293"/>
      <c r="AC293"/>
      <c r="AD293"/>
      <c r="AE293"/>
      <c r="AF293"/>
      <c r="AG293"/>
      <c r="AH293"/>
      <c r="BQ293" s="2"/>
      <c r="BR293" s="3"/>
      <c r="BS293" s="3"/>
      <c r="BT293" s="3"/>
      <c r="BU293" s="3"/>
    </row>
    <row r="294" spans="1:73" ht="15">
      <c r="A294"/>
      <c r="J294"/>
      <c r="AA294"/>
      <c r="AB294"/>
      <c r="AC294"/>
      <c r="AD294"/>
      <c r="AE294"/>
      <c r="AF294"/>
      <c r="AG294"/>
      <c r="AH294"/>
      <c r="BQ294" s="2"/>
      <c r="BR294" s="3"/>
      <c r="BS294" s="3"/>
      <c r="BT294" s="3"/>
      <c r="BU294" s="3"/>
    </row>
    <row r="295" spans="1:73" ht="15">
      <c r="A295"/>
      <c r="J295"/>
      <c r="AA295"/>
      <c r="AB295"/>
      <c r="AC295"/>
      <c r="AD295"/>
      <c r="AE295"/>
      <c r="AF295"/>
      <c r="AG295"/>
      <c r="AH295"/>
      <c r="BQ295" s="2"/>
      <c r="BR295" s="3"/>
      <c r="BS295" s="3"/>
      <c r="BT295" s="3"/>
      <c r="BU295" s="3"/>
    </row>
    <row r="296" spans="1:73" ht="15">
      <c r="A296"/>
      <c r="J296"/>
      <c r="AA296"/>
      <c r="AB296"/>
      <c r="AC296"/>
      <c r="AD296"/>
      <c r="AE296"/>
      <c r="AF296"/>
      <c r="AG296"/>
      <c r="AH296"/>
      <c r="BQ296" s="2"/>
      <c r="BR296" s="3"/>
      <c r="BS296" s="3"/>
      <c r="BT296" s="3"/>
      <c r="BU296" s="3"/>
    </row>
    <row r="297" spans="1:73" ht="15">
      <c r="A297"/>
      <c r="J297"/>
      <c r="AA297"/>
      <c r="AB297"/>
      <c r="AC297"/>
      <c r="AD297"/>
      <c r="AE297"/>
      <c r="AF297"/>
      <c r="AG297"/>
      <c r="AH297"/>
      <c r="BQ297" s="2"/>
      <c r="BR297" s="3"/>
      <c r="BS297" s="3"/>
      <c r="BT297" s="3"/>
      <c r="BU297" s="3"/>
    </row>
    <row r="298" spans="1:73" ht="15">
      <c r="A298"/>
      <c r="J298"/>
      <c r="AA298"/>
      <c r="AB298"/>
      <c r="AC298"/>
      <c r="AD298"/>
      <c r="AE298"/>
      <c r="AF298"/>
      <c r="AG298"/>
      <c r="AH298"/>
      <c r="BQ298" s="2"/>
      <c r="BR298" s="3"/>
      <c r="BS298" s="3"/>
      <c r="BT298" s="3"/>
      <c r="BU298" s="3"/>
    </row>
    <row r="299" spans="1:73" ht="15">
      <c r="A299"/>
      <c r="J299"/>
      <c r="AA299"/>
      <c r="AB299"/>
      <c r="AC299"/>
      <c r="AD299"/>
      <c r="AE299"/>
      <c r="AF299"/>
      <c r="AG299"/>
      <c r="AH299"/>
      <c r="BQ299" s="2"/>
      <c r="BR299" s="3"/>
      <c r="BS299" s="3"/>
      <c r="BT299" s="3"/>
      <c r="BU299" s="3"/>
    </row>
    <row r="300" spans="1:73" ht="15">
      <c r="A300"/>
      <c r="J300"/>
      <c r="AA300"/>
      <c r="AB300"/>
      <c r="AC300"/>
      <c r="AD300"/>
      <c r="AE300"/>
      <c r="AF300"/>
      <c r="AG300"/>
      <c r="AH300"/>
      <c r="BQ300" s="2"/>
      <c r="BR300" s="3"/>
      <c r="BS300" s="3"/>
      <c r="BT300" s="3"/>
      <c r="BU300" s="3"/>
    </row>
    <row r="301" spans="1:73" ht="15">
      <c r="A301"/>
      <c r="J301"/>
      <c r="AA301"/>
      <c r="AB301"/>
      <c r="AC301"/>
      <c r="AD301"/>
      <c r="AE301"/>
      <c r="AF301"/>
      <c r="AG301"/>
      <c r="AH301"/>
      <c r="BQ301" s="2"/>
      <c r="BR301" s="3"/>
      <c r="BS301" s="3"/>
      <c r="BT301" s="3"/>
      <c r="BU301" s="3"/>
    </row>
    <row r="302" spans="1:73" ht="15">
      <c r="A302"/>
      <c r="J302"/>
      <c r="AA302"/>
      <c r="AB302"/>
      <c r="AC302"/>
      <c r="AD302"/>
      <c r="AE302"/>
      <c r="AF302"/>
      <c r="AG302"/>
      <c r="AH302"/>
      <c r="BQ302" s="2"/>
      <c r="BR302" s="3"/>
      <c r="BS302" s="3"/>
      <c r="BT302" s="3"/>
      <c r="BU302" s="3"/>
    </row>
    <row r="303" spans="1:73" ht="15">
      <c r="A303"/>
      <c r="J303"/>
      <c r="AA303"/>
      <c r="AB303"/>
      <c r="AC303"/>
      <c r="AD303"/>
      <c r="AE303"/>
      <c r="AF303"/>
      <c r="AG303"/>
      <c r="AH303"/>
      <c r="BQ303" s="2"/>
      <c r="BR303" s="3"/>
      <c r="BS303" s="3"/>
      <c r="BT303" s="3"/>
      <c r="BU303" s="3"/>
    </row>
    <row r="304" spans="1:73" ht="15">
      <c r="A304"/>
      <c r="J304"/>
      <c r="AA304"/>
      <c r="AB304"/>
      <c r="AC304"/>
      <c r="AD304"/>
      <c r="AE304"/>
      <c r="AF304"/>
      <c r="AG304"/>
      <c r="AH304"/>
      <c r="BQ304" s="2"/>
      <c r="BR304" s="3"/>
      <c r="BS304" s="3"/>
      <c r="BT304" s="3"/>
      <c r="BU304" s="3"/>
    </row>
    <row r="305" spans="1:73" ht="15">
      <c r="A305"/>
      <c r="J305"/>
      <c r="AA305"/>
      <c r="AB305"/>
      <c r="AC305"/>
      <c r="AD305"/>
      <c r="AE305"/>
      <c r="AF305"/>
      <c r="AG305"/>
      <c r="AH305"/>
      <c r="BQ305" s="2"/>
      <c r="BR305" s="3"/>
      <c r="BS305" s="3"/>
      <c r="BT305" s="3"/>
      <c r="BU305" s="3"/>
    </row>
    <row r="306" spans="1:73" ht="15">
      <c r="A306"/>
      <c r="J306"/>
      <c r="AA306"/>
      <c r="AB306"/>
      <c r="AC306"/>
      <c r="AD306"/>
      <c r="AE306"/>
      <c r="AF306"/>
      <c r="AG306"/>
      <c r="AH306"/>
      <c r="BQ306" s="2"/>
      <c r="BR306" s="3"/>
      <c r="BS306" s="3"/>
      <c r="BT306" s="3"/>
      <c r="BU306" s="3"/>
    </row>
    <row r="307" spans="1:73" ht="15">
      <c r="A307"/>
      <c r="J307"/>
      <c r="AA307"/>
      <c r="AB307"/>
      <c r="AC307"/>
      <c r="AD307"/>
      <c r="AE307"/>
      <c r="AF307"/>
      <c r="AG307"/>
      <c r="AH307"/>
      <c r="BQ307" s="2"/>
      <c r="BR307" s="3"/>
      <c r="BS307" s="3"/>
      <c r="BT307" s="3"/>
      <c r="BU307" s="3"/>
    </row>
    <row r="308" spans="1:73" ht="15">
      <c r="A308"/>
      <c r="J308"/>
      <c r="AA308"/>
      <c r="AB308"/>
      <c r="AC308"/>
      <c r="AD308"/>
      <c r="AE308"/>
      <c r="AF308"/>
      <c r="AG308"/>
      <c r="AH308"/>
      <c r="BQ308" s="2"/>
      <c r="BR308" s="3"/>
      <c r="BS308" s="3"/>
      <c r="BT308" s="3"/>
      <c r="BU308" s="3"/>
    </row>
    <row r="309" spans="1:73" ht="15">
      <c r="A309"/>
      <c r="J309"/>
      <c r="AA309"/>
      <c r="AB309"/>
      <c r="AC309"/>
      <c r="AD309"/>
      <c r="AE309"/>
      <c r="AF309"/>
      <c r="AG309"/>
      <c r="AH309"/>
      <c r="BQ309" s="2"/>
      <c r="BR309" s="3"/>
      <c r="BS309" s="3"/>
      <c r="BT309" s="3"/>
      <c r="BU309" s="3"/>
    </row>
    <row r="310" spans="1:73" ht="15">
      <c r="A310"/>
      <c r="J310"/>
      <c r="AA310"/>
      <c r="AB310"/>
      <c r="AC310"/>
      <c r="AD310"/>
      <c r="AE310"/>
      <c r="AF310"/>
      <c r="AG310"/>
      <c r="AH310"/>
      <c r="BQ310" s="2"/>
      <c r="BR310" s="3"/>
      <c r="BS310" s="3"/>
      <c r="BT310" s="3"/>
      <c r="BU310" s="3"/>
    </row>
    <row r="311" spans="1:73" ht="15">
      <c r="A311"/>
      <c r="J311"/>
      <c r="AA311"/>
      <c r="AB311"/>
      <c r="AC311"/>
      <c r="AD311"/>
      <c r="AE311"/>
      <c r="AF311"/>
      <c r="AG311"/>
      <c r="AH311"/>
      <c r="BQ311" s="2"/>
      <c r="BR311" s="3"/>
      <c r="BS311" s="3"/>
      <c r="BT311" s="3"/>
      <c r="BU311" s="3"/>
    </row>
    <row r="312" spans="1:73" ht="15">
      <c r="A312"/>
      <c r="J312"/>
      <c r="AA312"/>
      <c r="AB312"/>
      <c r="AC312"/>
      <c r="AD312"/>
      <c r="AE312"/>
      <c r="AF312"/>
      <c r="AG312"/>
      <c r="AH312"/>
      <c r="BQ312" s="2"/>
      <c r="BR312" s="3"/>
      <c r="BS312" s="3"/>
      <c r="BT312" s="3"/>
      <c r="BU312" s="3"/>
    </row>
    <row r="313" spans="1:73" ht="15">
      <c r="A313"/>
      <c r="J313"/>
      <c r="AA313"/>
      <c r="AB313"/>
      <c r="AC313"/>
      <c r="AD313"/>
      <c r="AE313"/>
      <c r="AF313"/>
      <c r="AG313"/>
      <c r="AH313"/>
      <c r="BQ313" s="2"/>
      <c r="BR313" s="3"/>
      <c r="BS313" s="3"/>
      <c r="BT313" s="3"/>
      <c r="BU313" s="3"/>
    </row>
    <row r="314" spans="1:73" ht="15">
      <c r="A314"/>
      <c r="J314"/>
      <c r="AA314"/>
      <c r="AB314"/>
      <c r="AC314"/>
      <c r="AD314"/>
      <c r="AE314"/>
      <c r="AF314"/>
      <c r="AG314"/>
      <c r="AH314"/>
      <c r="BQ314" s="2"/>
      <c r="BR314" s="3"/>
      <c r="BS314" s="3"/>
      <c r="BT314" s="3"/>
      <c r="BU314" s="3"/>
    </row>
    <row r="315" spans="1:73" ht="15">
      <c r="A315"/>
      <c r="J315"/>
      <c r="AA315"/>
      <c r="AB315"/>
      <c r="AC315"/>
      <c r="AD315"/>
      <c r="AE315"/>
      <c r="AF315"/>
      <c r="AG315"/>
      <c r="AH315"/>
      <c r="BQ315" s="2"/>
      <c r="BR315" s="3"/>
      <c r="BS315" s="3"/>
      <c r="BT315" s="3"/>
      <c r="BU315" s="3"/>
    </row>
    <row r="316" spans="1:73" ht="15">
      <c r="A316"/>
      <c r="J316"/>
      <c r="AA316"/>
      <c r="AB316"/>
      <c r="AC316"/>
      <c r="AD316"/>
      <c r="AE316"/>
      <c r="AF316"/>
      <c r="AG316"/>
      <c r="AH316"/>
      <c r="BQ316" s="2"/>
      <c r="BR316" s="3"/>
      <c r="BS316" s="3"/>
      <c r="BT316" s="3"/>
      <c r="BU316" s="3"/>
    </row>
    <row r="317" spans="1:73" ht="15">
      <c r="A317"/>
      <c r="J317"/>
      <c r="AA317"/>
      <c r="AB317"/>
      <c r="AC317"/>
      <c r="AD317"/>
      <c r="AE317"/>
      <c r="AF317"/>
      <c r="AG317"/>
      <c r="AH317"/>
      <c r="BQ317" s="2"/>
      <c r="BR317" s="3"/>
      <c r="BS317" s="3"/>
      <c r="BT317" s="3"/>
      <c r="BU317" s="3"/>
    </row>
    <row r="318" spans="1:73" ht="15">
      <c r="A318"/>
      <c r="J318"/>
      <c r="AA318"/>
      <c r="AB318"/>
      <c r="AC318"/>
      <c r="AD318"/>
      <c r="AE318"/>
      <c r="AF318"/>
      <c r="AG318"/>
      <c r="AH318"/>
      <c r="BQ318" s="2"/>
      <c r="BR318" s="3"/>
      <c r="BS318" s="3"/>
      <c r="BT318" s="3"/>
      <c r="BU318" s="3"/>
    </row>
    <row r="319" spans="1:73" ht="15">
      <c r="A319"/>
      <c r="J319"/>
      <c r="AA319"/>
      <c r="AB319"/>
      <c r="AC319"/>
      <c r="AD319"/>
      <c r="AE319"/>
      <c r="AF319"/>
      <c r="AG319"/>
      <c r="AH319"/>
      <c r="BQ319" s="2"/>
      <c r="BR319" s="3"/>
      <c r="BS319" s="3"/>
      <c r="BT319" s="3"/>
      <c r="BU319" s="3"/>
    </row>
    <row r="320" spans="1:73" ht="15">
      <c r="A320"/>
      <c r="J320"/>
      <c r="AA320"/>
      <c r="AB320"/>
      <c r="AC320"/>
      <c r="AD320"/>
      <c r="AE320"/>
      <c r="AF320"/>
      <c r="AG320"/>
      <c r="AH320"/>
      <c r="BQ320" s="2"/>
      <c r="BR320" s="3"/>
      <c r="BS320" s="3"/>
      <c r="BT320" s="3"/>
      <c r="BU320" s="3"/>
    </row>
    <row r="321" spans="1:73" ht="15">
      <c r="A321"/>
      <c r="J321"/>
      <c r="AA321"/>
      <c r="AB321"/>
      <c r="AC321"/>
      <c r="AD321"/>
      <c r="AE321"/>
      <c r="AF321"/>
      <c r="AG321"/>
      <c r="AH321"/>
      <c r="BQ321" s="2"/>
      <c r="BR321" s="3"/>
      <c r="BS321" s="3"/>
      <c r="BT321" s="3"/>
      <c r="BU321" s="3"/>
    </row>
    <row r="322" spans="1:73" ht="15">
      <c r="A322"/>
      <c r="J322"/>
      <c r="AA322"/>
      <c r="AB322"/>
      <c r="AC322"/>
      <c r="AD322"/>
      <c r="AE322"/>
      <c r="AF322"/>
      <c r="AG322"/>
      <c r="AH322"/>
      <c r="BQ322" s="2"/>
      <c r="BR322" s="3"/>
      <c r="BS322" s="3"/>
      <c r="BT322" s="3"/>
      <c r="BU322" s="3"/>
    </row>
    <row r="323" spans="1:73" ht="15">
      <c r="A323"/>
      <c r="J323"/>
      <c r="AA323"/>
      <c r="AB323"/>
      <c r="AC323"/>
      <c r="AD323"/>
      <c r="AE323"/>
      <c r="AF323"/>
      <c r="AG323"/>
      <c r="AH323"/>
      <c r="BQ323" s="2"/>
      <c r="BR323" s="3"/>
      <c r="BS323" s="3"/>
      <c r="BT323" s="3"/>
      <c r="BU323" s="3"/>
    </row>
    <row r="324" spans="1:73" ht="15">
      <c r="A324"/>
      <c r="J324"/>
      <c r="AA324"/>
      <c r="AB324"/>
      <c r="AC324"/>
      <c r="AD324"/>
      <c r="AE324"/>
      <c r="AF324"/>
      <c r="AG324"/>
      <c r="AH324"/>
      <c r="BQ324" s="2"/>
      <c r="BR324" s="3"/>
      <c r="BS324" s="3"/>
      <c r="BT324" s="3"/>
      <c r="BU324" s="3"/>
    </row>
    <row r="325" spans="1:73" ht="15">
      <c r="A325"/>
      <c r="J325"/>
      <c r="AA325"/>
      <c r="AB325"/>
      <c r="AC325"/>
      <c r="AD325"/>
      <c r="AE325"/>
      <c r="AF325"/>
      <c r="AG325"/>
      <c r="AH325"/>
      <c r="BQ325" s="2"/>
      <c r="BR325" s="3"/>
      <c r="BS325" s="3"/>
      <c r="BT325" s="3"/>
      <c r="BU325" s="3"/>
    </row>
    <row r="326" spans="1:73" ht="15">
      <c r="A326"/>
      <c r="J326"/>
      <c r="AA326"/>
      <c r="AB326"/>
      <c r="AC326"/>
      <c r="AD326"/>
      <c r="AE326"/>
      <c r="AF326"/>
      <c r="AG326"/>
      <c r="AH326"/>
      <c r="BQ326" s="2"/>
      <c r="BR326" s="3"/>
      <c r="BS326" s="3"/>
      <c r="BT326" s="3"/>
      <c r="BU326" s="3"/>
    </row>
    <row r="327" spans="1:73" ht="15">
      <c r="A327"/>
      <c r="J327"/>
      <c r="AA327"/>
      <c r="AB327"/>
      <c r="AC327"/>
      <c r="AD327"/>
      <c r="AE327"/>
      <c r="AF327"/>
      <c r="AG327"/>
      <c r="AH327"/>
      <c r="BQ327" s="2"/>
      <c r="BR327" s="3"/>
      <c r="BS327" s="3"/>
      <c r="BT327" s="3"/>
      <c r="BU327" s="3"/>
    </row>
    <row r="328" spans="1:73" ht="15">
      <c r="A328"/>
      <c r="J328"/>
      <c r="AA328"/>
      <c r="AB328"/>
      <c r="AC328"/>
      <c r="AD328"/>
      <c r="AE328"/>
      <c r="AF328"/>
      <c r="AG328"/>
      <c r="AH328"/>
      <c r="BQ328" s="2"/>
      <c r="BR328" s="3"/>
      <c r="BS328" s="3"/>
      <c r="BT328" s="3"/>
      <c r="BU328" s="3"/>
    </row>
    <row r="329" spans="1:73" ht="15">
      <c r="A329"/>
      <c r="J329"/>
      <c r="AA329"/>
      <c r="AB329"/>
      <c r="AC329"/>
      <c r="AD329"/>
      <c r="AE329"/>
      <c r="AF329"/>
      <c r="AG329"/>
      <c r="AH329"/>
      <c r="BQ329" s="2"/>
      <c r="BR329" s="3"/>
      <c r="BS329" s="3"/>
      <c r="BT329" s="3"/>
      <c r="BU329" s="3"/>
    </row>
    <row r="330" spans="1:73" ht="15">
      <c r="A330"/>
      <c r="J330"/>
      <c r="AA330"/>
      <c r="AB330"/>
      <c r="AC330"/>
      <c r="AD330"/>
      <c r="AE330"/>
      <c r="AF330"/>
      <c r="AG330"/>
      <c r="AH330"/>
      <c r="BQ330" s="2"/>
      <c r="BR330" s="3"/>
      <c r="BS330" s="3"/>
      <c r="BT330" s="3"/>
      <c r="BU330" s="3"/>
    </row>
    <row r="331" spans="1:73" ht="15">
      <c r="A331"/>
      <c r="J331"/>
      <c r="AA331"/>
      <c r="AB331"/>
      <c r="AC331"/>
      <c r="AD331"/>
      <c r="AE331"/>
      <c r="AF331"/>
      <c r="AG331"/>
      <c r="AH331"/>
      <c r="BQ331" s="2"/>
      <c r="BR331" s="3"/>
      <c r="BS331" s="3"/>
      <c r="BT331" s="3"/>
      <c r="BU331" s="3"/>
    </row>
    <row r="332" spans="1:73" ht="15">
      <c r="A332"/>
      <c r="J332"/>
      <c r="AA332"/>
      <c r="AB332"/>
      <c r="AC332"/>
      <c r="AD332"/>
      <c r="AE332"/>
      <c r="AF332"/>
      <c r="AG332"/>
      <c r="AH332"/>
      <c r="BQ332" s="2"/>
      <c r="BR332" s="3"/>
      <c r="BS332" s="3"/>
      <c r="BT332" s="3"/>
      <c r="BU332" s="3"/>
    </row>
    <row r="333" spans="1:73" ht="15">
      <c r="A333"/>
      <c r="J333"/>
      <c r="AA333"/>
      <c r="AB333"/>
      <c r="AC333"/>
      <c r="AD333"/>
      <c r="AE333"/>
      <c r="AF333"/>
      <c r="AG333"/>
      <c r="AH333"/>
      <c r="BQ333" s="2"/>
      <c r="BR333" s="3"/>
      <c r="BS333" s="3"/>
      <c r="BT333" s="3"/>
      <c r="BU333" s="3"/>
    </row>
    <row r="334" spans="1:73" ht="15">
      <c r="A334"/>
      <c r="J334"/>
      <c r="AA334"/>
      <c r="AB334"/>
      <c r="AC334"/>
      <c r="AD334"/>
      <c r="AE334"/>
      <c r="AF334"/>
      <c r="AG334"/>
      <c r="AH334"/>
      <c r="BQ334" s="2"/>
      <c r="BR334" s="3"/>
      <c r="BS334" s="3"/>
      <c r="BT334" s="3"/>
      <c r="BU334" s="3"/>
    </row>
    <row r="335" spans="1:73" ht="15">
      <c r="A335"/>
      <c r="J335"/>
      <c r="AA335"/>
      <c r="AB335"/>
      <c r="AC335"/>
      <c r="AD335"/>
      <c r="AE335"/>
      <c r="AF335"/>
      <c r="AG335"/>
      <c r="AH335"/>
      <c r="BQ335" s="2"/>
      <c r="BR335" s="3"/>
      <c r="BS335" s="3"/>
      <c r="BT335" s="3"/>
      <c r="BU335" s="3"/>
    </row>
    <row r="336" spans="1:73" ht="15">
      <c r="A336"/>
      <c r="J336"/>
      <c r="AA336"/>
      <c r="AB336"/>
      <c r="AC336"/>
      <c r="AD336"/>
      <c r="AE336"/>
      <c r="AF336"/>
      <c r="AG336"/>
      <c r="AH336"/>
      <c r="BQ336" s="2"/>
      <c r="BR336" s="3"/>
      <c r="BS336" s="3"/>
      <c r="BT336" s="3"/>
      <c r="BU336" s="3"/>
    </row>
    <row r="337" spans="1:73" ht="15">
      <c r="A337"/>
      <c r="J337"/>
      <c r="AA337"/>
      <c r="AB337"/>
      <c r="AC337"/>
      <c r="AD337"/>
      <c r="AE337"/>
      <c r="AF337"/>
      <c r="AG337"/>
      <c r="AH337"/>
      <c r="BQ337" s="2"/>
      <c r="BR337" s="3"/>
      <c r="BS337" s="3"/>
      <c r="BT337" s="3"/>
      <c r="BU337" s="3"/>
    </row>
    <row r="338" spans="1:73" ht="15">
      <c r="A338"/>
      <c r="J338"/>
      <c r="AA338"/>
      <c r="AB338"/>
      <c r="AC338"/>
      <c r="AD338"/>
      <c r="AE338"/>
      <c r="AF338"/>
      <c r="AG338"/>
      <c r="AH338"/>
      <c r="BQ338" s="2"/>
      <c r="BR338" s="3"/>
      <c r="BS338" s="3"/>
      <c r="BT338" s="3"/>
      <c r="BU338" s="3"/>
    </row>
    <row r="339" spans="1:73" ht="15">
      <c r="A339"/>
      <c r="J339"/>
      <c r="AA339"/>
      <c r="AB339"/>
      <c r="AC339"/>
      <c r="AD339"/>
      <c r="AE339"/>
      <c r="AF339"/>
      <c r="AG339"/>
      <c r="AH339"/>
      <c r="BQ339" s="2"/>
      <c r="BR339" s="3"/>
      <c r="BS339" s="3"/>
      <c r="BT339" s="3"/>
      <c r="BU339" s="3"/>
    </row>
    <row r="340" spans="1:73" ht="15">
      <c r="A340"/>
      <c r="J340"/>
      <c r="AA340"/>
      <c r="AB340"/>
      <c r="AC340"/>
      <c r="AD340"/>
      <c r="AE340"/>
      <c r="AF340"/>
      <c r="AG340"/>
      <c r="AH340"/>
      <c r="BQ340" s="2"/>
      <c r="BR340" s="3"/>
      <c r="BS340" s="3"/>
      <c r="BT340" s="3"/>
      <c r="BU340" s="3"/>
    </row>
    <row r="341" spans="1:73" ht="15">
      <c r="A341"/>
      <c r="J341"/>
      <c r="AA341"/>
      <c r="AB341"/>
      <c r="AC341"/>
      <c r="AD341"/>
      <c r="AE341"/>
      <c r="AF341"/>
      <c r="AG341"/>
      <c r="AH341"/>
      <c r="BQ341" s="2"/>
      <c r="BR341" s="3"/>
      <c r="BS341" s="3"/>
      <c r="BT341" s="3"/>
      <c r="BU341" s="3"/>
    </row>
    <row r="342" spans="1:73" ht="15">
      <c r="A342"/>
      <c r="J342"/>
      <c r="AA342"/>
      <c r="AB342"/>
      <c r="AC342"/>
      <c r="AD342"/>
      <c r="AE342"/>
      <c r="AF342"/>
      <c r="AG342"/>
      <c r="AH342"/>
      <c r="BQ342" s="2"/>
      <c r="BR342" s="3"/>
      <c r="BS342" s="3"/>
      <c r="BT342" s="3"/>
      <c r="BU342" s="3"/>
    </row>
    <row r="343" spans="1:73" ht="15">
      <c r="A343"/>
      <c r="J343"/>
      <c r="AA343"/>
      <c r="AB343"/>
      <c r="AC343"/>
      <c r="AD343"/>
      <c r="AE343"/>
      <c r="AF343"/>
      <c r="AG343"/>
      <c r="AH343"/>
      <c r="BQ343" s="2"/>
      <c r="BR343" s="3"/>
      <c r="BS343" s="3"/>
      <c r="BT343" s="3"/>
      <c r="BU343" s="3"/>
    </row>
    <row r="344" spans="1:73" ht="15">
      <c r="A344"/>
      <c r="J344"/>
      <c r="AA344"/>
      <c r="AB344"/>
      <c r="AC344"/>
      <c r="AD344"/>
      <c r="AE344"/>
      <c r="AF344"/>
      <c r="AG344"/>
      <c r="AH344"/>
      <c r="BQ344" s="2"/>
      <c r="BR344" s="3"/>
      <c r="BS344" s="3"/>
      <c r="BT344" s="3"/>
      <c r="BU344" s="3"/>
    </row>
    <row r="345" spans="1:73" ht="15">
      <c r="A345"/>
      <c r="J345"/>
      <c r="AA345"/>
      <c r="AB345"/>
      <c r="AC345"/>
      <c r="AD345"/>
      <c r="AE345"/>
      <c r="AF345"/>
      <c r="AG345"/>
      <c r="AH345"/>
      <c r="BQ345" s="2"/>
      <c r="BR345" s="3"/>
      <c r="BS345" s="3"/>
      <c r="BT345" s="3"/>
      <c r="BU345" s="3"/>
    </row>
    <row r="346" spans="1:73" ht="15">
      <c r="A346"/>
      <c r="J346"/>
      <c r="AA346"/>
      <c r="AB346"/>
      <c r="AC346"/>
      <c r="AD346"/>
      <c r="AE346"/>
      <c r="AF346"/>
      <c r="AG346"/>
      <c r="AH346"/>
      <c r="BQ346" s="2"/>
      <c r="BR346" s="3"/>
      <c r="BS346" s="3"/>
      <c r="BT346" s="3"/>
      <c r="BU346" s="3"/>
    </row>
    <row r="347" spans="1:73" ht="15">
      <c r="A347"/>
      <c r="J347"/>
      <c r="AA347"/>
      <c r="AB347"/>
      <c r="AC347"/>
      <c r="AD347"/>
      <c r="AE347"/>
      <c r="AF347"/>
      <c r="AG347"/>
      <c r="AH347"/>
      <c r="BQ347" s="2"/>
      <c r="BR347" s="3"/>
      <c r="BS347" s="3"/>
      <c r="BT347" s="3"/>
      <c r="BU347" s="3"/>
    </row>
    <row r="348" spans="1:73" ht="15">
      <c r="A348"/>
      <c r="J348"/>
      <c r="AA348"/>
      <c r="AB348"/>
      <c r="AC348"/>
      <c r="AD348"/>
      <c r="AE348"/>
      <c r="AF348"/>
      <c r="AG348"/>
      <c r="AH348"/>
      <c r="BQ348" s="2"/>
      <c r="BR348" s="3"/>
      <c r="BS348" s="3"/>
      <c r="BT348" s="3"/>
      <c r="BU348" s="3"/>
    </row>
    <row r="349" spans="1:73" ht="15">
      <c r="A349"/>
      <c r="J349"/>
      <c r="AA349"/>
      <c r="AB349"/>
      <c r="AC349"/>
      <c r="AD349"/>
      <c r="AE349"/>
      <c r="AF349"/>
      <c r="AG349"/>
      <c r="AH349"/>
      <c r="BQ349" s="2"/>
      <c r="BR349" s="3"/>
      <c r="BS349" s="3"/>
      <c r="BT349" s="3"/>
      <c r="BU349" s="3"/>
    </row>
    <row r="350" spans="1:73" ht="15">
      <c r="A350"/>
      <c r="J350"/>
      <c r="AA350"/>
      <c r="AB350"/>
      <c r="AC350"/>
      <c r="AD350"/>
      <c r="AE350"/>
      <c r="AF350"/>
      <c r="AG350"/>
      <c r="AH350"/>
      <c r="BQ350" s="2"/>
      <c r="BR350" s="3"/>
      <c r="BS350" s="3"/>
      <c r="BT350" s="3"/>
      <c r="BU350" s="3"/>
    </row>
    <row r="351" spans="1:73" ht="15">
      <c r="A351"/>
      <c r="J351"/>
      <c r="AA351"/>
      <c r="AB351"/>
      <c r="AC351"/>
      <c r="AD351"/>
      <c r="AE351"/>
      <c r="AF351"/>
      <c r="AG351"/>
      <c r="AH351"/>
      <c r="BQ351" s="2"/>
      <c r="BR351" s="3"/>
      <c r="BS351" s="3"/>
      <c r="BT351" s="3"/>
      <c r="BU351" s="3"/>
    </row>
    <row r="352" spans="1:73" ht="15">
      <c r="A352"/>
      <c r="J352"/>
      <c r="AA352"/>
      <c r="AB352"/>
      <c r="AC352"/>
      <c r="AD352"/>
      <c r="AE352"/>
      <c r="AF352"/>
      <c r="AG352"/>
      <c r="AH352"/>
      <c r="BQ352" s="2"/>
      <c r="BR352" s="3"/>
      <c r="BS352" s="3"/>
      <c r="BT352" s="3"/>
      <c r="BU352" s="3"/>
    </row>
    <row r="353" spans="1:73" ht="15">
      <c r="A353"/>
      <c r="J353"/>
      <c r="AA353"/>
      <c r="AB353"/>
      <c r="AC353"/>
      <c r="AD353"/>
      <c r="AE353"/>
      <c r="AF353"/>
      <c r="AG353"/>
      <c r="AH353"/>
      <c r="BQ353" s="2"/>
      <c r="BR353" s="3"/>
      <c r="BS353" s="3"/>
      <c r="BT353" s="3"/>
      <c r="BU353" s="3"/>
    </row>
    <row r="354" spans="1:73" ht="15">
      <c r="A354"/>
      <c r="J354"/>
      <c r="AA354"/>
      <c r="AB354"/>
      <c r="AC354"/>
      <c r="AD354"/>
      <c r="AE354"/>
      <c r="AF354"/>
      <c r="AG354"/>
      <c r="AH354"/>
      <c r="BQ354" s="2"/>
      <c r="BR354" s="3"/>
      <c r="BS354" s="3"/>
      <c r="BT354" s="3"/>
      <c r="BU354" s="3"/>
    </row>
    <row r="355" spans="1:73" ht="15">
      <c r="A355"/>
      <c r="J355"/>
      <c r="AA355"/>
      <c r="AB355"/>
      <c r="AC355"/>
      <c r="AD355"/>
      <c r="AE355"/>
      <c r="AF355"/>
      <c r="AG355"/>
      <c r="AH355"/>
      <c r="BQ355" s="2"/>
      <c r="BR355" s="3"/>
      <c r="BS355" s="3"/>
      <c r="BT355" s="3"/>
      <c r="BU355" s="3"/>
    </row>
    <row r="356" spans="1:73" ht="15">
      <c r="A356"/>
      <c r="J356"/>
      <c r="AA356"/>
      <c r="AB356"/>
      <c r="AC356"/>
      <c r="AD356"/>
      <c r="AE356"/>
      <c r="AF356"/>
      <c r="AG356"/>
      <c r="AH356"/>
      <c r="BQ356" s="2"/>
      <c r="BR356" s="3"/>
      <c r="BS356" s="3"/>
      <c r="BT356" s="3"/>
      <c r="BU356" s="3"/>
    </row>
    <row r="357" spans="1:73" ht="15">
      <c r="A357"/>
      <c r="J357"/>
      <c r="AA357"/>
      <c r="AB357"/>
      <c r="AC357"/>
      <c r="AD357"/>
      <c r="AE357"/>
      <c r="AF357"/>
      <c r="AG357"/>
      <c r="AH357"/>
      <c r="BQ357" s="2"/>
      <c r="BR357" s="3"/>
      <c r="BS357" s="3"/>
      <c r="BT357" s="3"/>
      <c r="BU357" s="3"/>
    </row>
    <row r="358" spans="1:73" ht="15">
      <c r="A358"/>
      <c r="J358"/>
      <c r="AA358"/>
      <c r="AB358"/>
      <c r="AC358"/>
      <c r="AD358"/>
      <c r="AE358"/>
      <c r="AF358"/>
      <c r="AG358"/>
      <c r="AH358"/>
      <c r="BQ358" s="2"/>
      <c r="BR358" s="3"/>
      <c r="BS358" s="3"/>
      <c r="BT358" s="3"/>
      <c r="BU358" s="3"/>
    </row>
    <row r="359" spans="1:73" ht="15">
      <c r="A359"/>
      <c r="J359"/>
      <c r="AA359"/>
      <c r="AB359"/>
      <c r="AC359"/>
      <c r="AD359"/>
      <c r="AE359"/>
      <c r="AF359"/>
      <c r="AG359"/>
      <c r="AH359"/>
      <c r="BQ359" s="2"/>
      <c r="BR359" s="3"/>
      <c r="BS359" s="3"/>
      <c r="BT359" s="3"/>
      <c r="BU359" s="3"/>
    </row>
    <row r="360" spans="1:73" ht="15">
      <c r="A360"/>
      <c r="J360"/>
      <c r="AA360"/>
      <c r="AB360"/>
      <c r="AC360"/>
      <c r="AD360"/>
      <c r="AE360"/>
      <c r="AF360"/>
      <c r="AG360"/>
      <c r="AH360"/>
      <c r="BQ360" s="2"/>
      <c r="BR360" s="3"/>
      <c r="BS360" s="3"/>
      <c r="BT360" s="3"/>
      <c r="BU360" s="3"/>
    </row>
    <row r="361" spans="1:73" ht="15">
      <c r="A361"/>
      <c r="J361"/>
      <c r="AA361"/>
      <c r="AB361"/>
      <c r="AC361"/>
      <c r="AD361"/>
      <c r="AE361"/>
      <c r="AF361"/>
      <c r="AG361"/>
      <c r="AH361"/>
      <c r="BQ361" s="2"/>
      <c r="BR361" s="3"/>
      <c r="BS361" s="3"/>
      <c r="BT361" s="3"/>
      <c r="BU361" s="3"/>
    </row>
    <row r="362" spans="1:73" ht="15">
      <c r="A362"/>
      <c r="J362"/>
      <c r="AA362"/>
      <c r="AB362"/>
      <c r="AC362"/>
      <c r="AD362"/>
      <c r="AE362"/>
      <c r="AF362"/>
      <c r="AG362"/>
      <c r="AH362"/>
      <c r="BQ362" s="2"/>
      <c r="BR362" s="3"/>
      <c r="BS362" s="3"/>
      <c r="BT362" s="3"/>
      <c r="BU362" s="3"/>
    </row>
    <row r="363" spans="1:73" ht="15">
      <c r="A363"/>
      <c r="J363"/>
      <c r="AA363"/>
      <c r="AB363"/>
      <c r="AC363"/>
      <c r="AD363"/>
      <c r="AE363"/>
      <c r="AF363"/>
      <c r="AG363"/>
      <c r="AH363"/>
      <c r="BQ363" s="2"/>
      <c r="BR363" s="3"/>
      <c r="BS363" s="3"/>
      <c r="BT363" s="3"/>
      <c r="BU363" s="3"/>
    </row>
    <row r="364" spans="1:73" ht="15">
      <c r="A364"/>
      <c r="J364"/>
      <c r="AA364"/>
      <c r="AB364"/>
      <c r="AC364"/>
      <c r="AD364"/>
      <c r="AE364"/>
      <c r="AF364"/>
      <c r="AG364"/>
      <c r="AH364"/>
      <c r="BQ364" s="2"/>
      <c r="BR364" s="3"/>
      <c r="BS364" s="3"/>
      <c r="BT364" s="3"/>
      <c r="BU364" s="3"/>
    </row>
    <row r="365" spans="1:73" ht="15">
      <c r="A365"/>
      <c r="J365"/>
      <c r="AA365"/>
      <c r="AB365"/>
      <c r="AC365"/>
      <c r="AD365"/>
      <c r="AE365"/>
      <c r="AF365"/>
      <c r="AG365"/>
      <c r="AH365"/>
      <c r="BQ365" s="2"/>
      <c r="BR365" s="3"/>
      <c r="BS365" s="3"/>
      <c r="BT365" s="3"/>
      <c r="BU365" s="3"/>
    </row>
    <row r="366" spans="1:73" ht="15">
      <c r="A366"/>
      <c r="J366"/>
      <c r="AA366"/>
      <c r="AB366"/>
      <c r="AC366"/>
      <c r="AD366"/>
      <c r="AE366"/>
      <c r="AF366"/>
      <c r="AG366"/>
      <c r="AH366"/>
      <c r="BQ366" s="2"/>
      <c r="BR366" s="3"/>
      <c r="BS366" s="3"/>
      <c r="BT366" s="3"/>
      <c r="BU366" s="3"/>
    </row>
    <row r="367" spans="1:73" ht="15">
      <c r="A367"/>
      <c r="J367"/>
      <c r="AA367"/>
      <c r="AB367"/>
      <c r="AC367"/>
      <c r="AD367"/>
      <c r="AE367"/>
      <c r="AF367"/>
      <c r="AG367"/>
      <c r="AH367"/>
      <c r="BQ367" s="2"/>
      <c r="BR367" s="3"/>
      <c r="BS367" s="3"/>
      <c r="BT367" s="3"/>
      <c r="BU367" s="3"/>
    </row>
    <row r="368" spans="1:73" ht="15">
      <c r="A368"/>
      <c r="J368"/>
      <c r="AA368"/>
      <c r="AB368"/>
      <c r="AC368"/>
      <c r="AD368"/>
      <c r="AE368"/>
      <c r="AF368"/>
      <c r="AG368"/>
      <c r="AH368"/>
      <c r="BQ368" s="2"/>
      <c r="BR368" s="3"/>
      <c r="BS368" s="3"/>
      <c r="BT368" s="3"/>
      <c r="BU368" s="3"/>
    </row>
    <row r="369" spans="1:73" ht="15">
      <c r="A369"/>
      <c r="J369"/>
      <c r="AA369"/>
      <c r="AB369"/>
      <c r="AC369"/>
      <c r="AD369"/>
      <c r="AE369"/>
      <c r="AF369"/>
      <c r="AG369"/>
      <c r="AH369"/>
      <c r="BQ369" s="2"/>
      <c r="BR369" s="3"/>
      <c r="BS369" s="3"/>
      <c r="BT369" s="3"/>
      <c r="BU369" s="3"/>
    </row>
    <row r="370" spans="1:73" ht="15">
      <c r="A370"/>
      <c r="J370"/>
      <c r="AA370"/>
      <c r="AB370"/>
      <c r="AC370"/>
      <c r="AD370"/>
      <c r="AE370"/>
      <c r="AF370"/>
      <c r="AG370"/>
      <c r="AH370"/>
      <c r="BQ370" s="2"/>
      <c r="BR370" s="3"/>
      <c r="BS370" s="3"/>
      <c r="BT370" s="3"/>
      <c r="BU370" s="3"/>
    </row>
    <row r="371" spans="1:73" ht="15">
      <c r="A371"/>
      <c r="J371"/>
      <c r="AA371"/>
      <c r="AB371"/>
      <c r="AC371"/>
      <c r="AD371"/>
      <c r="AE371"/>
      <c r="AF371"/>
      <c r="AG371"/>
      <c r="AH371"/>
      <c r="BQ371" s="2"/>
      <c r="BR371" s="3"/>
      <c r="BS371" s="3"/>
      <c r="BT371" s="3"/>
      <c r="BU371" s="3"/>
    </row>
    <row r="372" spans="1:73" ht="15">
      <c r="A372"/>
      <c r="J372"/>
      <c r="AA372"/>
      <c r="AB372"/>
      <c r="AC372"/>
      <c r="AD372"/>
      <c r="AE372"/>
      <c r="AF372"/>
      <c r="AG372"/>
      <c r="AH372"/>
      <c r="BQ372" s="2"/>
      <c r="BR372" s="3"/>
      <c r="BS372" s="3"/>
      <c r="BT372" s="3"/>
      <c r="BU372" s="3"/>
    </row>
    <row r="373" spans="1:73" ht="15">
      <c r="A373"/>
      <c r="J373"/>
      <c r="AA373"/>
      <c r="AB373"/>
      <c r="AC373"/>
      <c r="AD373"/>
      <c r="AE373"/>
      <c r="AF373"/>
      <c r="AG373"/>
      <c r="AH373"/>
      <c r="BQ373" s="2"/>
      <c r="BR373" s="3"/>
      <c r="BS373" s="3"/>
      <c r="BT373" s="3"/>
      <c r="BU373" s="3"/>
    </row>
    <row r="374" spans="1:73" ht="15">
      <c r="A374"/>
      <c r="J374"/>
      <c r="AA374"/>
      <c r="AB374"/>
      <c r="AC374"/>
      <c r="AD374"/>
      <c r="AE374"/>
      <c r="AF374"/>
      <c r="AG374"/>
      <c r="AH374"/>
      <c r="BQ374" s="2"/>
      <c r="BR374" s="3"/>
      <c r="BS374" s="3"/>
      <c r="BT374" s="3"/>
      <c r="BU374" s="3"/>
    </row>
    <row r="375" spans="1:73" ht="15">
      <c r="A375"/>
      <c r="J375"/>
      <c r="AA375"/>
      <c r="AB375"/>
      <c r="AC375"/>
      <c r="AD375"/>
      <c r="AE375"/>
      <c r="AF375"/>
      <c r="AG375"/>
      <c r="AH375"/>
      <c r="BQ375" s="2"/>
      <c r="BR375" s="3"/>
      <c r="BS375" s="3"/>
      <c r="BT375" s="3"/>
      <c r="BU375" s="3"/>
    </row>
    <row r="376" spans="1:73" ht="15">
      <c r="A376"/>
      <c r="J376"/>
      <c r="AA376"/>
      <c r="AB376"/>
      <c r="AC376"/>
      <c r="AD376"/>
      <c r="AE376"/>
      <c r="AF376"/>
      <c r="AG376"/>
      <c r="AH376"/>
      <c r="BQ376" s="2"/>
      <c r="BR376" s="3"/>
      <c r="BS376" s="3"/>
      <c r="BT376" s="3"/>
      <c r="BU376" s="3"/>
    </row>
    <row r="377" spans="1:73" ht="15">
      <c r="A377"/>
      <c r="J377"/>
      <c r="AA377"/>
      <c r="AB377"/>
      <c r="AC377"/>
      <c r="AD377"/>
      <c r="AE377"/>
      <c r="AF377"/>
      <c r="AG377"/>
      <c r="AH377"/>
      <c r="BQ377" s="2"/>
      <c r="BR377" s="3"/>
      <c r="BS377" s="3"/>
      <c r="BT377" s="3"/>
      <c r="BU377" s="3"/>
    </row>
    <row r="378" spans="1:73" ht="15">
      <c r="A378"/>
      <c r="J378"/>
      <c r="AA378"/>
      <c r="AB378"/>
      <c r="AC378"/>
      <c r="AD378"/>
      <c r="AE378"/>
      <c r="AF378"/>
      <c r="AG378"/>
      <c r="AH378"/>
      <c r="BQ378" s="2"/>
      <c r="BR378" s="3"/>
      <c r="BS378" s="3"/>
      <c r="BT378" s="3"/>
      <c r="BU378" s="3"/>
    </row>
    <row r="379" spans="1:73" ht="15">
      <c r="A379"/>
      <c r="J379"/>
      <c r="AA379"/>
      <c r="AB379"/>
      <c r="AC379"/>
      <c r="AD379"/>
      <c r="AE379"/>
      <c r="AF379"/>
      <c r="AG379"/>
      <c r="AH379"/>
      <c r="BQ379" s="2"/>
      <c r="BR379" s="3"/>
      <c r="BS379" s="3"/>
      <c r="BT379" s="3"/>
      <c r="BU379" s="3"/>
    </row>
    <row r="380" spans="1:73" ht="15">
      <c r="A380"/>
      <c r="J380"/>
      <c r="AA380"/>
      <c r="AB380"/>
      <c r="AC380"/>
      <c r="AD380"/>
      <c r="AE380"/>
      <c r="AF380"/>
      <c r="AG380"/>
      <c r="AH380"/>
      <c r="BQ380" s="2"/>
      <c r="BR380" s="3"/>
      <c r="BS380" s="3"/>
      <c r="BT380" s="3"/>
      <c r="BU380" s="3"/>
    </row>
    <row r="381" spans="1:73" ht="15">
      <c r="A381"/>
      <c r="J381"/>
      <c r="AA381"/>
      <c r="AB381"/>
      <c r="AC381"/>
      <c r="AD381"/>
      <c r="AE381"/>
      <c r="AF381"/>
      <c r="AG381"/>
      <c r="AH381"/>
      <c r="BQ381" s="2"/>
      <c r="BR381" s="3"/>
      <c r="BS381" s="3"/>
      <c r="BT381" s="3"/>
      <c r="BU381" s="3"/>
    </row>
    <row r="382" spans="1:73" ht="15">
      <c r="A382"/>
      <c r="J382"/>
      <c r="AA382"/>
      <c r="AB382"/>
      <c r="AC382"/>
      <c r="AD382"/>
      <c r="AE382"/>
      <c r="AF382"/>
      <c r="AG382"/>
      <c r="AH382"/>
      <c r="BQ382" s="2"/>
      <c r="BR382" s="3"/>
      <c r="BS382" s="3"/>
      <c r="BT382" s="3"/>
      <c r="BU382" s="3"/>
    </row>
    <row r="383" spans="1:73" ht="15">
      <c r="A383"/>
      <c r="J383"/>
      <c r="AA383"/>
      <c r="AB383"/>
      <c r="AC383"/>
      <c r="AD383"/>
      <c r="AE383"/>
      <c r="AF383"/>
      <c r="AG383"/>
      <c r="AH383"/>
      <c r="BQ383" s="2"/>
      <c r="BR383" s="3"/>
      <c r="BS383" s="3"/>
      <c r="BT383" s="3"/>
      <c r="BU383" s="3"/>
    </row>
    <row r="384" spans="1:73" ht="15">
      <c r="A384"/>
      <c r="J384"/>
      <c r="AA384"/>
      <c r="AB384"/>
      <c r="AC384"/>
      <c r="AD384"/>
      <c r="AE384"/>
      <c r="AF384"/>
      <c r="AG384"/>
      <c r="AH384"/>
      <c r="BQ384" s="2"/>
      <c r="BR384" s="3"/>
      <c r="BS384" s="3"/>
      <c r="BT384" s="3"/>
      <c r="BU384" s="3"/>
    </row>
    <row r="385" spans="1:73" ht="15">
      <c r="A385"/>
      <c r="J385"/>
      <c r="AA385"/>
      <c r="AB385"/>
      <c r="AC385"/>
      <c r="AD385"/>
      <c r="AE385"/>
      <c r="AF385"/>
      <c r="AG385"/>
      <c r="AH385"/>
      <c r="BQ385" s="2"/>
      <c r="BR385" s="3"/>
      <c r="BS385" s="3"/>
      <c r="BT385" s="3"/>
      <c r="BU385" s="3"/>
    </row>
    <row r="386" spans="1:73" ht="15">
      <c r="A386"/>
      <c r="J386"/>
      <c r="AA386"/>
      <c r="AB386"/>
      <c r="AC386"/>
      <c r="AD386"/>
      <c r="AE386"/>
      <c r="AF386"/>
      <c r="AG386"/>
      <c r="AH386"/>
      <c r="BQ386" s="2"/>
      <c r="BR386" s="3"/>
      <c r="BS386" s="3"/>
      <c r="BT386" s="3"/>
      <c r="BU386" s="3"/>
    </row>
    <row r="387" spans="1:73" ht="15">
      <c r="A387"/>
      <c r="J387"/>
      <c r="AA387"/>
      <c r="AB387"/>
      <c r="AC387"/>
      <c r="AD387"/>
      <c r="AE387"/>
      <c r="AF387"/>
      <c r="AG387"/>
      <c r="AH387"/>
      <c r="BQ387" s="2"/>
      <c r="BR387" s="3"/>
      <c r="BS387" s="3"/>
      <c r="BT387" s="3"/>
      <c r="BU387" s="3"/>
    </row>
    <row r="388" spans="1:73" ht="15">
      <c r="A388"/>
      <c r="J388"/>
      <c r="AA388"/>
      <c r="AB388"/>
      <c r="AC388"/>
      <c r="AD388"/>
      <c r="AE388"/>
      <c r="AF388"/>
      <c r="AG388"/>
      <c r="AH388"/>
      <c r="BQ388" s="2"/>
      <c r="BR388" s="3"/>
      <c r="BS388" s="3"/>
      <c r="BT388" s="3"/>
      <c r="BU388" s="3"/>
    </row>
    <row r="389" spans="1:73" ht="15">
      <c r="A389"/>
      <c r="J389"/>
      <c r="AA389"/>
      <c r="AB389"/>
      <c r="AC389"/>
      <c r="AD389"/>
      <c r="AE389"/>
      <c r="AF389"/>
      <c r="AG389"/>
      <c r="AH389"/>
      <c r="BQ389" s="2"/>
      <c r="BR389" s="3"/>
      <c r="BS389" s="3"/>
      <c r="BT389" s="3"/>
      <c r="BU389" s="3"/>
    </row>
    <row r="390" spans="1:73" ht="15">
      <c r="A390"/>
      <c r="J390"/>
      <c r="AA390"/>
      <c r="AB390"/>
      <c r="AC390"/>
      <c r="AD390"/>
      <c r="AE390"/>
      <c r="AF390"/>
      <c r="AG390"/>
      <c r="AH390"/>
      <c r="BQ390" s="2"/>
      <c r="BR390" s="3"/>
      <c r="BS390" s="3"/>
      <c r="BT390" s="3"/>
      <c r="BU390" s="3"/>
    </row>
    <row r="391" spans="1:73" ht="15">
      <c r="A391"/>
      <c r="J391"/>
      <c r="AA391"/>
      <c r="AB391"/>
      <c r="AC391"/>
      <c r="AD391"/>
      <c r="AE391"/>
      <c r="AF391"/>
      <c r="AG391"/>
      <c r="AH391"/>
      <c r="BQ391" s="2"/>
      <c r="BR391" s="3"/>
      <c r="BS391" s="3"/>
      <c r="BT391" s="3"/>
      <c r="BU391" s="3"/>
    </row>
    <row r="392" spans="1:73" ht="15">
      <c r="A392"/>
      <c r="J392"/>
      <c r="AA392"/>
      <c r="AB392"/>
      <c r="AC392"/>
      <c r="AD392"/>
      <c r="AE392"/>
      <c r="AF392"/>
      <c r="AG392"/>
      <c r="AH392"/>
      <c r="BQ392" s="2"/>
      <c r="BR392" s="3"/>
      <c r="BS392" s="3"/>
      <c r="BT392" s="3"/>
      <c r="BU392" s="3"/>
    </row>
    <row r="393" spans="1:73" ht="15">
      <c r="A393"/>
      <c r="J393"/>
      <c r="AA393"/>
      <c r="AB393"/>
      <c r="AC393"/>
      <c r="AD393"/>
      <c r="AE393"/>
      <c r="AF393"/>
      <c r="AG393"/>
      <c r="AH393"/>
      <c r="BQ393" s="2"/>
      <c r="BR393" s="3"/>
      <c r="BS393" s="3"/>
      <c r="BT393" s="3"/>
      <c r="BU393" s="3"/>
    </row>
    <row r="394" spans="1:73" ht="15">
      <c r="A394"/>
      <c r="J394"/>
      <c r="AA394"/>
      <c r="AB394"/>
      <c r="AC394"/>
      <c r="AD394"/>
      <c r="AE394"/>
      <c r="AF394"/>
      <c r="AG394"/>
      <c r="AH394"/>
      <c r="BQ394" s="2"/>
      <c r="BR394" s="3"/>
      <c r="BS394" s="3"/>
      <c r="BT394" s="3"/>
      <c r="BU394" s="3"/>
    </row>
    <row r="395" spans="1:73" ht="15">
      <c r="A395"/>
      <c r="J395"/>
      <c r="AA395"/>
      <c r="AB395"/>
      <c r="AC395"/>
      <c r="AD395"/>
      <c r="AE395"/>
      <c r="AF395"/>
      <c r="AG395"/>
      <c r="AH395"/>
      <c r="BQ395" s="2"/>
      <c r="BR395" s="3"/>
      <c r="BS395" s="3"/>
      <c r="BT395" s="3"/>
      <c r="BU395" s="3"/>
    </row>
    <row r="396" spans="1:73" ht="15">
      <c r="A396"/>
      <c r="J396"/>
      <c r="AA396"/>
      <c r="AB396"/>
      <c r="AC396"/>
      <c r="AD396"/>
      <c r="AE396"/>
      <c r="AF396"/>
      <c r="AG396"/>
      <c r="AH396"/>
      <c r="BQ396" s="2"/>
      <c r="BR396" s="3"/>
      <c r="BS396" s="3"/>
      <c r="BT396" s="3"/>
      <c r="BU396" s="3"/>
    </row>
    <row r="397" spans="1:73" ht="15">
      <c r="A397"/>
      <c r="J397"/>
      <c r="AA397"/>
      <c r="AB397"/>
      <c r="AC397"/>
      <c r="AD397"/>
      <c r="AE397"/>
      <c r="AF397"/>
      <c r="AG397"/>
      <c r="AH397"/>
      <c r="BQ397" s="2"/>
      <c r="BR397" s="3"/>
      <c r="BS397" s="3"/>
      <c r="BT397" s="3"/>
      <c r="BU397" s="3"/>
    </row>
    <row r="398" spans="1:73" ht="15">
      <c r="A398"/>
      <c r="J398"/>
      <c r="AA398"/>
      <c r="AB398"/>
      <c r="AC398"/>
      <c r="AD398"/>
      <c r="AE398"/>
      <c r="AF398"/>
      <c r="AG398"/>
      <c r="AH398"/>
      <c r="BQ398" s="2"/>
      <c r="BR398" s="3"/>
      <c r="BS398" s="3"/>
      <c r="BT398" s="3"/>
      <c r="BU398" s="3"/>
    </row>
    <row r="399" spans="1:73" ht="15">
      <c r="A399"/>
      <c r="J399"/>
      <c r="AA399"/>
      <c r="AB399"/>
      <c r="AC399"/>
      <c r="AD399"/>
      <c r="AE399"/>
      <c r="AF399"/>
      <c r="AG399"/>
      <c r="AH399"/>
      <c r="BQ399" s="2"/>
      <c r="BR399" s="3"/>
      <c r="BS399" s="3"/>
      <c r="BT399" s="3"/>
      <c r="BU399" s="3"/>
    </row>
    <row r="400" spans="1:73" ht="15">
      <c r="A400"/>
      <c r="J400"/>
      <c r="AA400"/>
      <c r="AB400"/>
      <c r="AC400"/>
      <c r="AD400"/>
      <c r="AE400"/>
      <c r="AF400"/>
      <c r="AG400"/>
      <c r="AH400"/>
      <c r="BQ400" s="2"/>
      <c r="BR400" s="3"/>
      <c r="BS400" s="3"/>
      <c r="BT400" s="3"/>
      <c r="BU400" s="3"/>
    </row>
    <row r="401" spans="1:73" ht="15">
      <c r="A401"/>
      <c r="J401"/>
      <c r="AA401"/>
      <c r="AB401"/>
      <c r="AC401"/>
      <c r="AD401"/>
      <c r="AE401"/>
      <c r="AF401"/>
      <c r="AG401"/>
      <c r="AH401"/>
      <c r="BQ401" s="2"/>
      <c r="BR401" s="3"/>
      <c r="BS401" s="3"/>
      <c r="BT401" s="3"/>
      <c r="BU401" s="3"/>
    </row>
    <row r="402" spans="1:73" ht="15">
      <c r="A402"/>
      <c r="J402"/>
      <c r="AA402"/>
      <c r="AB402"/>
      <c r="AC402"/>
      <c r="AD402"/>
      <c r="AE402"/>
      <c r="AF402"/>
      <c r="AG402"/>
      <c r="AH402"/>
      <c r="BQ402" s="2"/>
      <c r="BR402" s="3"/>
      <c r="BS402" s="3"/>
      <c r="BT402" s="3"/>
      <c r="BU402" s="3"/>
    </row>
    <row r="403" spans="1:73" ht="15">
      <c r="A403"/>
      <c r="J403"/>
      <c r="AA403"/>
      <c r="AB403"/>
      <c r="AC403"/>
      <c r="AD403"/>
      <c r="AE403"/>
      <c r="AF403"/>
      <c r="AG403"/>
      <c r="AH403"/>
      <c r="BQ403" s="2"/>
      <c r="BR403" s="3"/>
      <c r="BS403" s="3"/>
      <c r="BT403" s="3"/>
      <c r="BU403" s="3"/>
    </row>
    <row r="404" spans="1:73" ht="15">
      <c r="A404"/>
      <c r="J404"/>
      <c r="AA404"/>
      <c r="AB404"/>
      <c r="AC404"/>
      <c r="AD404"/>
      <c r="AE404"/>
      <c r="AF404"/>
      <c r="AG404"/>
      <c r="AH404"/>
      <c r="BQ404" s="2"/>
      <c r="BR404" s="3"/>
      <c r="BS404" s="3"/>
      <c r="BT404" s="3"/>
      <c r="BU404" s="3"/>
    </row>
    <row r="405" spans="1:73" ht="15">
      <c r="A405"/>
      <c r="J405"/>
      <c r="AA405"/>
      <c r="AB405"/>
      <c r="AC405"/>
      <c r="AD405"/>
      <c r="AE405"/>
      <c r="AF405"/>
      <c r="AG405"/>
      <c r="AH405"/>
      <c r="BQ405" s="2"/>
      <c r="BR405" s="3"/>
      <c r="BS405" s="3"/>
      <c r="BT405" s="3"/>
      <c r="BU405" s="3"/>
    </row>
    <row r="406" spans="1:73" ht="15">
      <c r="A406"/>
      <c r="J406"/>
      <c r="AA406"/>
      <c r="AB406"/>
      <c r="AC406"/>
      <c r="AD406"/>
      <c r="AE406"/>
      <c r="AF406"/>
      <c r="AG406"/>
      <c r="AH406"/>
      <c r="BQ406" s="2"/>
      <c r="BR406" s="3"/>
      <c r="BS406" s="3"/>
      <c r="BT406" s="3"/>
      <c r="BU406" s="3"/>
    </row>
    <row r="407" spans="1:73" ht="15">
      <c r="A407"/>
      <c r="J407"/>
      <c r="AA407"/>
      <c r="AB407"/>
      <c r="AC407"/>
      <c r="AD407"/>
      <c r="AE407"/>
      <c r="AF407"/>
      <c r="AG407"/>
      <c r="AH407"/>
      <c r="BQ407" s="2"/>
      <c r="BR407" s="3"/>
      <c r="BS407" s="3"/>
      <c r="BT407" s="3"/>
      <c r="BU407" s="3"/>
    </row>
    <row r="408" spans="1:73" ht="15">
      <c r="A408"/>
      <c r="J408"/>
      <c r="AA408"/>
      <c r="AB408"/>
      <c r="AC408"/>
      <c r="AD408"/>
      <c r="AE408"/>
      <c r="AF408"/>
      <c r="AG408"/>
      <c r="AH408"/>
      <c r="BQ408" s="2"/>
      <c r="BR408" s="3"/>
      <c r="BS408" s="3"/>
      <c r="BT408" s="3"/>
      <c r="BU408" s="3"/>
    </row>
    <row r="409" spans="1:73" ht="15">
      <c r="A409"/>
      <c r="J409"/>
      <c r="AA409"/>
      <c r="AB409"/>
      <c r="AC409"/>
      <c r="AD409"/>
      <c r="AE409"/>
      <c r="AF409"/>
      <c r="AG409"/>
      <c r="AH409"/>
      <c r="BQ409" s="2"/>
      <c r="BR409" s="3"/>
      <c r="BS409" s="3"/>
      <c r="BT409" s="3"/>
      <c r="BU409" s="3"/>
    </row>
    <row r="410" spans="1:73" ht="15">
      <c r="A410"/>
      <c r="J410"/>
      <c r="AA410"/>
      <c r="AB410"/>
      <c r="AC410"/>
      <c r="AD410"/>
      <c r="AE410"/>
      <c r="AF410"/>
      <c r="AG410"/>
      <c r="AH410"/>
      <c r="BQ410" s="2"/>
      <c r="BR410" s="3"/>
      <c r="BS410" s="3"/>
      <c r="BT410" s="3"/>
      <c r="BU410" s="3"/>
    </row>
    <row r="411" spans="1:73" ht="15">
      <c r="A411"/>
      <c r="J411"/>
      <c r="AA411"/>
      <c r="AB411"/>
      <c r="AC411"/>
      <c r="AD411"/>
      <c r="AE411"/>
      <c r="AF411"/>
      <c r="AG411"/>
      <c r="AH411"/>
      <c r="BQ411" s="2"/>
      <c r="BR411" s="3"/>
      <c r="BS411" s="3"/>
      <c r="BT411" s="3"/>
      <c r="BU411" s="3"/>
    </row>
    <row r="412" spans="1:73" ht="15">
      <c r="A412"/>
      <c r="J412"/>
      <c r="AA412"/>
      <c r="AB412"/>
      <c r="AC412"/>
      <c r="AD412"/>
      <c r="AE412"/>
      <c r="AF412"/>
      <c r="AG412"/>
      <c r="AH412"/>
      <c r="BQ412" s="2"/>
      <c r="BR412" s="3"/>
      <c r="BS412" s="3"/>
      <c r="BT412" s="3"/>
      <c r="BU412" s="3"/>
    </row>
    <row r="413" spans="1:73" ht="15">
      <c r="A413"/>
      <c r="J413"/>
      <c r="AA413"/>
      <c r="AB413"/>
      <c r="AC413"/>
      <c r="AD413"/>
      <c r="AE413"/>
      <c r="AF413"/>
      <c r="AG413"/>
      <c r="AH413"/>
      <c r="BQ413" s="2"/>
      <c r="BR413" s="3"/>
      <c r="BS413" s="3"/>
      <c r="BT413" s="3"/>
      <c r="BU413" s="3"/>
    </row>
    <row r="414" spans="1:73" ht="15">
      <c r="A414"/>
      <c r="J414"/>
      <c r="AA414"/>
      <c r="AB414"/>
      <c r="AC414"/>
      <c r="AD414"/>
      <c r="AE414"/>
      <c r="AF414"/>
      <c r="AG414"/>
      <c r="AH414"/>
      <c r="BQ414" s="2"/>
      <c r="BR414" s="3"/>
      <c r="BS414" s="3"/>
      <c r="BT414" s="3"/>
      <c r="BU414" s="3"/>
    </row>
    <row r="415" spans="1:73" ht="15">
      <c r="A415"/>
      <c r="J415"/>
      <c r="AA415"/>
      <c r="AB415"/>
      <c r="AC415"/>
      <c r="AD415"/>
      <c r="AE415"/>
      <c r="AF415"/>
      <c r="AG415"/>
      <c r="AH415"/>
      <c r="BQ415" s="2"/>
      <c r="BR415" s="3"/>
      <c r="BS415" s="3"/>
      <c r="BT415" s="3"/>
      <c r="BU415" s="3"/>
    </row>
    <row r="416" spans="1:73" ht="15">
      <c r="A416"/>
      <c r="J416"/>
      <c r="AA416"/>
      <c r="AB416"/>
      <c r="AC416"/>
      <c r="AD416"/>
      <c r="AE416"/>
      <c r="AF416"/>
      <c r="AG416"/>
      <c r="AH416"/>
      <c r="BQ416" s="2"/>
      <c r="BR416" s="3"/>
      <c r="BS416" s="3"/>
      <c r="BT416" s="3"/>
      <c r="BU416" s="3"/>
    </row>
    <row r="417" spans="1:73" ht="15">
      <c r="A417"/>
      <c r="J417"/>
      <c r="AA417"/>
      <c r="AB417"/>
      <c r="AC417"/>
      <c r="AD417"/>
      <c r="AE417"/>
      <c r="AF417"/>
      <c r="AG417"/>
      <c r="AH417"/>
      <c r="BQ417" s="2"/>
      <c r="BR417" s="3"/>
      <c r="BS417" s="3"/>
      <c r="BT417" s="3"/>
      <c r="BU417" s="3"/>
    </row>
    <row r="418" spans="1:73" ht="15">
      <c r="A418"/>
      <c r="J418"/>
      <c r="AA418"/>
      <c r="AB418"/>
      <c r="AC418"/>
      <c r="AD418"/>
      <c r="AE418"/>
      <c r="AF418"/>
      <c r="AG418"/>
      <c r="AH418"/>
      <c r="BQ418" s="2"/>
      <c r="BR418" s="3"/>
      <c r="BS418" s="3"/>
      <c r="BT418" s="3"/>
      <c r="BU418" s="3"/>
    </row>
    <row r="419" spans="1:73" ht="15">
      <c r="A419"/>
      <c r="J419"/>
      <c r="AA419"/>
      <c r="AB419"/>
      <c r="AC419"/>
      <c r="AD419"/>
      <c r="AE419"/>
      <c r="AF419"/>
      <c r="AG419"/>
      <c r="AH419"/>
      <c r="BQ419" s="2"/>
      <c r="BR419" s="3"/>
      <c r="BS419" s="3"/>
      <c r="BT419" s="3"/>
      <c r="BU419" s="3"/>
    </row>
    <row r="420" spans="1:73" ht="15">
      <c r="A420"/>
      <c r="J420"/>
      <c r="AA420"/>
      <c r="AB420"/>
      <c r="AC420"/>
      <c r="AD420"/>
      <c r="AE420"/>
      <c r="AF420"/>
      <c r="AG420"/>
      <c r="AH420"/>
      <c r="BQ420" s="2"/>
      <c r="BR420" s="3"/>
      <c r="BS420" s="3"/>
      <c r="BT420" s="3"/>
      <c r="BU420" s="3"/>
    </row>
    <row r="421" spans="1:73" ht="15">
      <c r="A421"/>
      <c r="J421"/>
      <c r="AA421"/>
      <c r="AB421"/>
      <c r="AC421"/>
      <c r="AD421"/>
      <c r="AE421"/>
      <c r="AF421"/>
      <c r="AG421"/>
      <c r="AH421"/>
      <c r="BQ421" s="2"/>
      <c r="BR421" s="3"/>
      <c r="BS421" s="3"/>
      <c r="BT421" s="3"/>
      <c r="BU421" s="3"/>
    </row>
    <row r="422" spans="1:73" ht="15">
      <c r="A422"/>
      <c r="J422"/>
      <c r="AA422"/>
      <c r="AB422"/>
      <c r="AC422"/>
      <c r="AD422"/>
      <c r="AE422"/>
      <c r="AF422"/>
      <c r="AG422"/>
      <c r="AH422"/>
      <c r="BQ422" s="2"/>
      <c r="BR422" s="3"/>
      <c r="BS422" s="3"/>
      <c r="BT422" s="3"/>
      <c r="BU422" s="3"/>
    </row>
    <row r="423" spans="1:73" ht="15">
      <c r="A423"/>
      <c r="J423"/>
      <c r="AA423"/>
      <c r="AB423"/>
      <c r="AC423"/>
      <c r="AD423"/>
      <c r="AE423"/>
      <c r="AF423"/>
      <c r="AG423"/>
      <c r="AH423"/>
      <c r="BQ423" s="2"/>
      <c r="BR423" s="3"/>
      <c r="BS423" s="3"/>
      <c r="BT423" s="3"/>
      <c r="BU423" s="3"/>
    </row>
    <row r="424" spans="1:73" ht="15">
      <c r="A424"/>
      <c r="J424"/>
      <c r="AA424"/>
      <c r="AB424"/>
      <c r="AC424"/>
      <c r="AD424"/>
      <c r="AE424"/>
      <c r="AF424"/>
      <c r="AG424"/>
      <c r="AH424"/>
      <c r="BQ424" s="2"/>
      <c r="BR424" s="3"/>
      <c r="BS424" s="3"/>
      <c r="BT424" s="3"/>
      <c r="BU424" s="3"/>
    </row>
    <row r="425" spans="1:73" ht="15">
      <c r="A425"/>
      <c r="J425"/>
      <c r="AA425"/>
      <c r="AB425"/>
      <c r="AC425"/>
      <c r="AD425"/>
      <c r="AE425"/>
      <c r="AF425"/>
      <c r="AG425"/>
      <c r="AH425"/>
      <c r="BQ425" s="2"/>
      <c r="BR425" s="3"/>
      <c r="BS425" s="3"/>
      <c r="BT425" s="3"/>
      <c r="BU425" s="3"/>
    </row>
    <row r="426" spans="1:73" ht="15">
      <c r="A426"/>
      <c r="J426"/>
      <c r="AA426"/>
      <c r="AB426"/>
      <c r="AC426"/>
      <c r="AD426"/>
      <c r="AE426"/>
      <c r="AF426"/>
      <c r="AG426"/>
      <c r="AH426"/>
      <c r="BQ426" s="2"/>
      <c r="BR426" s="3"/>
      <c r="BS426" s="3"/>
      <c r="BT426" s="3"/>
      <c r="BU426" s="3"/>
    </row>
    <row r="427" spans="1:73" ht="15">
      <c r="A427"/>
      <c r="J427"/>
      <c r="AA427"/>
      <c r="AB427"/>
      <c r="AC427"/>
      <c r="AD427"/>
      <c r="AE427"/>
      <c r="AF427"/>
      <c r="AG427"/>
      <c r="AH427"/>
      <c r="BQ427" s="2"/>
      <c r="BR427" s="3"/>
      <c r="BS427" s="3"/>
      <c r="BT427" s="3"/>
      <c r="BU427" s="3"/>
    </row>
    <row r="428" spans="1:73" ht="15">
      <c r="A428"/>
      <c r="J428"/>
      <c r="AA428"/>
      <c r="AB428"/>
      <c r="AC428"/>
      <c r="AD428"/>
      <c r="AE428"/>
      <c r="AF428"/>
      <c r="AG428"/>
      <c r="AH428"/>
      <c r="BQ428" s="2"/>
      <c r="BR428" s="3"/>
      <c r="BS428" s="3"/>
      <c r="BT428" s="3"/>
      <c r="BU428" s="3"/>
    </row>
    <row r="429" spans="1:73" ht="15">
      <c r="A429"/>
      <c r="J429"/>
      <c r="AA429"/>
      <c r="AB429"/>
      <c r="AC429"/>
      <c r="AD429"/>
      <c r="AE429"/>
      <c r="AF429"/>
      <c r="AG429"/>
      <c r="AH429"/>
      <c r="BQ429" s="2"/>
      <c r="BR429" s="3"/>
      <c r="BS429" s="3"/>
      <c r="BT429" s="3"/>
      <c r="BU429" s="3"/>
    </row>
    <row r="430" spans="1:73" ht="15">
      <c r="A430"/>
      <c r="J430"/>
      <c r="AA430"/>
      <c r="AB430"/>
      <c r="AC430"/>
      <c r="AD430"/>
      <c r="AE430"/>
      <c r="AF430"/>
      <c r="AG430"/>
      <c r="AH430"/>
      <c r="BQ430" s="2"/>
      <c r="BR430" s="3"/>
      <c r="BS430" s="3"/>
      <c r="BT430" s="3"/>
      <c r="BU430" s="3"/>
    </row>
    <row r="431" spans="1:73" ht="15">
      <c r="A431"/>
      <c r="J431"/>
      <c r="AA431"/>
      <c r="AB431"/>
      <c r="AC431"/>
      <c r="AD431"/>
      <c r="AE431"/>
      <c r="AF431"/>
      <c r="AG431"/>
      <c r="AH431"/>
      <c r="BQ431" s="2"/>
      <c r="BR431" s="3"/>
      <c r="BS431" s="3"/>
      <c r="BT431" s="3"/>
      <c r="BU431" s="3"/>
    </row>
    <row r="432" spans="1:73" ht="15">
      <c r="A432"/>
      <c r="J432"/>
      <c r="AA432"/>
      <c r="AB432"/>
      <c r="AC432"/>
      <c r="AD432"/>
      <c r="AE432"/>
      <c r="AF432"/>
      <c r="AG432"/>
      <c r="AH432"/>
      <c r="BQ432" s="2"/>
      <c r="BR432" s="3"/>
      <c r="BS432" s="3"/>
      <c r="BT432" s="3"/>
      <c r="BU432" s="3"/>
    </row>
    <row r="433" spans="1:73" ht="15">
      <c r="A433"/>
      <c r="J433"/>
      <c r="AA433"/>
      <c r="AB433"/>
      <c r="AC433"/>
      <c r="AD433"/>
      <c r="AE433"/>
      <c r="AF433"/>
      <c r="AG433"/>
      <c r="AH433"/>
      <c r="BQ433" s="2"/>
      <c r="BR433" s="3"/>
      <c r="BS433" s="3"/>
      <c r="BT433" s="3"/>
      <c r="BU433" s="3"/>
    </row>
    <row r="434" spans="1:73" ht="15">
      <c r="A434"/>
      <c r="J434"/>
      <c r="AA434"/>
      <c r="AB434"/>
      <c r="AC434"/>
      <c r="AD434"/>
      <c r="AE434"/>
      <c r="AF434"/>
      <c r="AG434"/>
      <c r="AH434"/>
      <c r="BQ434" s="2"/>
      <c r="BR434" s="3"/>
      <c r="BS434" s="3"/>
      <c r="BT434" s="3"/>
      <c r="BU434" s="3"/>
    </row>
    <row r="435" spans="1:73" ht="15">
      <c r="A435"/>
      <c r="J435"/>
      <c r="AA435"/>
      <c r="AB435"/>
      <c r="AC435"/>
      <c r="AD435"/>
      <c r="AE435"/>
      <c r="AF435"/>
      <c r="AG435"/>
      <c r="AH435"/>
      <c r="BQ435" s="2"/>
      <c r="BR435" s="3"/>
      <c r="BS435" s="3"/>
      <c r="BT435" s="3"/>
      <c r="BU435" s="3"/>
    </row>
    <row r="436" spans="1:73" ht="15">
      <c r="A436"/>
      <c r="J436"/>
      <c r="AA436"/>
      <c r="AB436"/>
      <c r="AC436"/>
      <c r="AD436"/>
      <c r="AE436"/>
      <c r="AF436"/>
      <c r="AG436"/>
      <c r="AH436"/>
      <c r="BQ436" s="2"/>
      <c r="BR436" s="3"/>
      <c r="BS436" s="3"/>
      <c r="BT436" s="3"/>
      <c r="BU436" s="3"/>
    </row>
    <row r="437" spans="1:73" ht="15">
      <c r="A437"/>
      <c r="J437"/>
      <c r="AA437"/>
      <c r="AB437"/>
      <c r="AC437"/>
      <c r="AD437"/>
      <c r="AE437"/>
      <c r="AF437"/>
      <c r="AG437"/>
      <c r="AH437"/>
      <c r="BQ437" s="2"/>
      <c r="BR437" s="3"/>
      <c r="BS437" s="3"/>
      <c r="BT437" s="3"/>
      <c r="BU437" s="3"/>
    </row>
    <row r="438" spans="1:73" ht="15">
      <c r="A438"/>
      <c r="J438"/>
      <c r="AA438"/>
      <c r="AB438"/>
      <c r="AC438"/>
      <c r="AD438"/>
      <c r="AE438"/>
      <c r="AF438"/>
      <c r="AG438"/>
      <c r="AH438"/>
      <c r="BQ438" s="2"/>
      <c r="BR438" s="3"/>
      <c r="BS438" s="3"/>
      <c r="BT438" s="3"/>
      <c r="BU438" s="3"/>
    </row>
    <row r="439" spans="1:73" ht="15">
      <c r="A439"/>
      <c r="J439"/>
      <c r="AA439"/>
      <c r="AB439"/>
      <c r="AC439"/>
      <c r="AD439"/>
      <c r="AE439"/>
      <c r="AF439"/>
      <c r="AG439"/>
      <c r="AH439"/>
      <c r="BQ439" s="2"/>
      <c r="BR439" s="3"/>
      <c r="BS439" s="3"/>
      <c r="BT439" s="3"/>
      <c r="BU439" s="3"/>
    </row>
    <row r="440" spans="1:73" ht="15">
      <c r="A440"/>
      <c r="J440"/>
      <c r="AA440"/>
      <c r="AB440"/>
      <c r="AC440"/>
      <c r="AD440"/>
      <c r="AE440"/>
      <c r="AF440"/>
      <c r="AG440"/>
      <c r="AH440"/>
      <c r="BQ440" s="2"/>
      <c r="BR440" s="3"/>
      <c r="BS440" s="3"/>
      <c r="BT440" s="3"/>
      <c r="BU440" s="3"/>
    </row>
    <row r="441" spans="1:73" ht="15">
      <c r="A441"/>
      <c r="J441"/>
      <c r="AA441"/>
      <c r="AB441"/>
      <c r="AC441"/>
      <c r="AD441"/>
      <c r="AE441"/>
      <c r="AF441"/>
      <c r="AG441"/>
      <c r="AH441"/>
      <c r="BQ441" s="2"/>
      <c r="BR441" s="3"/>
      <c r="BS441" s="3"/>
      <c r="BT441" s="3"/>
      <c r="BU441" s="3"/>
    </row>
    <row r="442" spans="1:73" ht="15">
      <c r="A442"/>
      <c r="J442"/>
      <c r="AA442"/>
      <c r="AB442"/>
      <c r="AC442"/>
      <c r="AD442"/>
      <c r="AE442"/>
      <c r="AF442"/>
      <c r="AG442"/>
      <c r="AH442"/>
      <c r="BQ442" s="2"/>
      <c r="BR442" s="3"/>
      <c r="BS442" s="3"/>
      <c r="BT442" s="3"/>
      <c r="BU442" s="3"/>
    </row>
    <row r="443" spans="1:73" ht="15">
      <c r="A443"/>
      <c r="J443"/>
      <c r="AA443"/>
      <c r="AB443"/>
      <c r="AC443"/>
      <c r="AD443"/>
      <c r="AE443"/>
      <c r="AF443"/>
      <c r="AG443"/>
      <c r="AH443"/>
      <c r="BQ443" s="2"/>
      <c r="BR443" s="3"/>
      <c r="BS443" s="3"/>
      <c r="BT443" s="3"/>
      <c r="BU443" s="3"/>
    </row>
    <row r="444" spans="1:73" ht="15">
      <c r="A444"/>
      <c r="J444"/>
      <c r="AA444"/>
      <c r="AB444"/>
      <c r="AC444"/>
      <c r="AD444"/>
      <c r="AE444"/>
      <c r="AF444"/>
      <c r="AG444"/>
      <c r="AH444"/>
      <c r="BQ444" s="2"/>
      <c r="BR444" s="3"/>
      <c r="BS444" s="3"/>
      <c r="BT444" s="3"/>
      <c r="BU444" s="3"/>
    </row>
    <row r="445" spans="1:73" ht="15">
      <c r="A445"/>
      <c r="J445"/>
      <c r="AA445"/>
      <c r="AB445"/>
      <c r="AC445"/>
      <c r="AD445"/>
      <c r="AE445"/>
      <c r="AF445"/>
      <c r="AG445"/>
      <c r="AH445"/>
      <c r="BQ445" s="2"/>
      <c r="BR445" s="3"/>
      <c r="BS445" s="3"/>
      <c r="BT445" s="3"/>
      <c r="BU445" s="3"/>
    </row>
    <row r="446" spans="1:73" ht="15">
      <c r="A446"/>
      <c r="J446"/>
      <c r="AA446"/>
      <c r="AB446"/>
      <c r="AC446"/>
      <c r="AD446"/>
      <c r="AE446"/>
      <c r="AF446"/>
      <c r="AG446"/>
      <c r="AH446"/>
      <c r="BQ446" s="2"/>
      <c r="BR446" s="3"/>
      <c r="BS446" s="3"/>
      <c r="BT446" s="3"/>
      <c r="BU446" s="3"/>
    </row>
    <row r="447" spans="1:73" ht="15">
      <c r="A447"/>
      <c r="J447"/>
      <c r="AA447"/>
      <c r="AB447"/>
      <c r="AC447"/>
      <c r="AD447"/>
      <c r="AE447"/>
      <c r="AF447"/>
      <c r="AG447"/>
      <c r="AH447"/>
      <c r="BQ447" s="2"/>
      <c r="BR447" s="3"/>
      <c r="BS447" s="3"/>
      <c r="BT447" s="3"/>
      <c r="BU447" s="3"/>
    </row>
    <row r="448" spans="1:73" ht="15">
      <c r="A448"/>
      <c r="J448"/>
      <c r="AA448"/>
      <c r="AB448"/>
      <c r="AC448"/>
      <c r="AD448"/>
      <c r="AE448"/>
      <c r="AF448"/>
      <c r="AG448"/>
      <c r="AH448"/>
      <c r="BQ448" s="2"/>
      <c r="BR448" s="3"/>
      <c r="BS448" s="3"/>
      <c r="BT448" s="3"/>
      <c r="BU448" s="3"/>
    </row>
    <row r="449" spans="1:73" ht="15">
      <c r="A449"/>
      <c r="J449"/>
      <c r="AA449"/>
      <c r="AB449"/>
      <c r="AC449"/>
      <c r="AD449"/>
      <c r="AE449"/>
      <c r="AF449"/>
      <c r="AG449"/>
      <c r="AH449"/>
      <c r="BQ449" s="2"/>
      <c r="BR449" s="3"/>
      <c r="BS449" s="3"/>
      <c r="BT449" s="3"/>
      <c r="BU449" s="3"/>
    </row>
    <row r="450" spans="1:73" ht="15">
      <c r="A450"/>
      <c r="J450"/>
      <c r="AA450"/>
      <c r="AB450"/>
      <c r="AC450"/>
      <c r="AD450"/>
      <c r="AE450"/>
      <c r="AF450"/>
      <c r="AG450"/>
      <c r="AH450"/>
      <c r="BQ450" s="2"/>
      <c r="BR450" s="3"/>
      <c r="BS450" s="3"/>
      <c r="BT450" s="3"/>
      <c r="BU450" s="3"/>
    </row>
    <row r="451" spans="1:73" ht="15">
      <c r="A451"/>
      <c r="J451"/>
      <c r="AA451"/>
      <c r="AB451"/>
      <c r="AC451"/>
      <c r="AD451"/>
      <c r="AE451"/>
      <c r="AF451"/>
      <c r="AG451"/>
      <c r="AH451"/>
      <c r="BQ451" s="2"/>
      <c r="BR451" s="3"/>
      <c r="BS451" s="3"/>
      <c r="BT451" s="3"/>
      <c r="BU451" s="3"/>
    </row>
    <row r="452" spans="1:73" ht="15">
      <c r="A452"/>
      <c r="J452"/>
      <c r="AA452"/>
      <c r="AB452"/>
      <c r="AC452"/>
      <c r="AD452"/>
      <c r="AE452"/>
      <c r="AF452"/>
      <c r="AG452"/>
      <c r="AH452"/>
      <c r="BQ452" s="2"/>
      <c r="BR452" s="3"/>
      <c r="BS452" s="3"/>
      <c r="BT452" s="3"/>
      <c r="BU452" s="3"/>
    </row>
    <row r="453" spans="1:73" ht="15">
      <c r="A453"/>
      <c r="J453"/>
      <c r="AA453"/>
      <c r="AB453"/>
      <c r="AC453"/>
      <c r="AD453"/>
      <c r="AE453"/>
      <c r="AF453"/>
      <c r="AG453"/>
      <c r="AH453"/>
      <c r="BQ453" s="2"/>
      <c r="BR453" s="3"/>
      <c r="BS453" s="3"/>
      <c r="BT453" s="3"/>
      <c r="BU453" s="3"/>
    </row>
    <row r="454" spans="1:73" ht="15">
      <c r="A454"/>
      <c r="J454"/>
      <c r="AA454"/>
      <c r="AB454"/>
      <c r="AC454"/>
      <c r="AD454"/>
      <c r="AE454"/>
      <c r="AF454"/>
      <c r="AG454"/>
      <c r="AH454"/>
      <c r="BQ454" s="2"/>
      <c r="BR454" s="3"/>
      <c r="BS454" s="3"/>
      <c r="BT454" s="3"/>
      <c r="BU454" s="3"/>
    </row>
    <row r="455" spans="1:73" ht="15">
      <c r="A455"/>
      <c r="J455"/>
      <c r="AA455"/>
      <c r="AB455"/>
      <c r="AC455"/>
      <c r="AD455"/>
      <c r="AE455"/>
      <c r="AF455"/>
      <c r="AG455"/>
      <c r="AH455"/>
      <c r="BQ455" s="2"/>
      <c r="BR455" s="3"/>
      <c r="BS455" s="3"/>
      <c r="BT455" s="3"/>
      <c r="BU455" s="3"/>
    </row>
    <row r="456" spans="1:73" ht="15">
      <c r="A456"/>
      <c r="J456"/>
      <c r="AA456"/>
      <c r="AB456"/>
      <c r="AC456"/>
      <c r="AD456"/>
      <c r="AE456"/>
      <c r="AF456"/>
      <c r="AG456"/>
      <c r="AH456"/>
      <c r="BQ456" s="2"/>
      <c r="BR456" s="3"/>
      <c r="BS456" s="3"/>
      <c r="BT456" s="3"/>
      <c r="BU456" s="3"/>
    </row>
    <row r="457" spans="1:73" ht="15">
      <c r="A457"/>
      <c r="J457"/>
      <c r="AA457"/>
      <c r="AB457"/>
      <c r="AC457"/>
      <c r="AD457"/>
      <c r="AE457"/>
      <c r="AF457"/>
      <c r="AG457"/>
      <c r="AH457"/>
      <c r="BQ457" s="2"/>
      <c r="BR457" s="3"/>
      <c r="BS457" s="3"/>
      <c r="BT457" s="3"/>
      <c r="BU457" s="3"/>
    </row>
    <row r="458" spans="1:73" ht="15">
      <c r="A458"/>
      <c r="J458"/>
      <c r="AA458"/>
      <c r="AB458"/>
      <c r="AC458"/>
      <c r="AD458"/>
      <c r="AE458"/>
      <c r="AF458"/>
      <c r="AG458"/>
      <c r="AH458"/>
      <c r="BQ458" s="2"/>
      <c r="BR458" s="3"/>
      <c r="BS458" s="3"/>
      <c r="BT458" s="3"/>
      <c r="BU458" s="3"/>
    </row>
    <row r="459" spans="1:73" ht="15">
      <c r="A459"/>
      <c r="J459"/>
      <c r="AA459"/>
      <c r="AB459"/>
      <c r="AC459"/>
      <c r="AD459"/>
      <c r="AE459"/>
      <c r="AF459"/>
      <c r="AG459"/>
      <c r="AH459"/>
      <c r="BQ459" s="2"/>
      <c r="BR459" s="3"/>
      <c r="BS459" s="3"/>
      <c r="BT459" s="3"/>
      <c r="BU459" s="3"/>
    </row>
    <row r="460" spans="1:73" ht="15">
      <c r="A460"/>
      <c r="J460"/>
      <c r="AA460"/>
      <c r="AB460"/>
      <c r="AC460"/>
      <c r="AD460"/>
      <c r="AE460"/>
      <c r="AF460"/>
      <c r="AG460"/>
      <c r="AH460"/>
      <c r="BQ460" s="2"/>
      <c r="BR460" s="3"/>
      <c r="BS460" s="3"/>
      <c r="BT460" s="3"/>
      <c r="BU460" s="3"/>
    </row>
    <row r="461" spans="1:73" ht="15">
      <c r="A461"/>
      <c r="J461"/>
      <c r="AA461"/>
      <c r="AB461"/>
      <c r="AC461"/>
      <c r="AD461"/>
      <c r="AE461"/>
      <c r="AF461"/>
      <c r="AG461"/>
      <c r="AH461"/>
      <c r="BQ461" s="2"/>
      <c r="BR461" s="3"/>
      <c r="BS461" s="3"/>
      <c r="BT461" s="3"/>
      <c r="BU461" s="3"/>
    </row>
    <row r="462" spans="1:73" ht="15">
      <c r="A462"/>
      <c r="J462"/>
      <c r="AA462"/>
      <c r="AB462"/>
      <c r="AC462"/>
      <c r="AD462"/>
      <c r="AE462"/>
      <c r="AF462"/>
      <c r="AG462"/>
      <c r="AH462"/>
      <c r="BQ462" s="2"/>
      <c r="BR462" s="3"/>
      <c r="BS462" s="3"/>
      <c r="BT462" s="3"/>
      <c r="BU462" s="3"/>
    </row>
    <row r="463" spans="1:73" ht="15">
      <c r="A463"/>
      <c r="J463"/>
      <c r="AA463"/>
      <c r="AB463"/>
      <c r="AC463"/>
      <c r="AD463"/>
      <c r="AE463"/>
      <c r="AF463"/>
      <c r="AG463"/>
      <c r="AH463"/>
      <c r="BQ463" s="2"/>
      <c r="BR463" s="3"/>
      <c r="BS463" s="3"/>
      <c r="BT463" s="3"/>
      <c r="BU463" s="3"/>
    </row>
    <row r="464" spans="1:73" ht="15">
      <c r="A464"/>
      <c r="J464"/>
      <c r="AA464"/>
      <c r="AB464"/>
      <c r="AC464"/>
      <c r="AD464"/>
      <c r="AE464"/>
      <c r="AF464"/>
      <c r="AG464"/>
      <c r="AH464"/>
      <c r="BQ464" s="2"/>
      <c r="BR464" s="3"/>
      <c r="BS464" s="3"/>
      <c r="BT464" s="3"/>
      <c r="BU464" s="3"/>
    </row>
    <row r="465" spans="1:73" ht="15">
      <c r="A465"/>
      <c r="J465"/>
      <c r="AA465"/>
      <c r="AB465"/>
      <c r="AC465"/>
      <c r="AD465"/>
      <c r="AE465"/>
      <c r="AF465"/>
      <c r="AG465"/>
      <c r="AH465"/>
      <c r="BQ465" s="2"/>
      <c r="BR465" s="3"/>
      <c r="BS465" s="3"/>
      <c r="BT465" s="3"/>
      <c r="BU465" s="3"/>
    </row>
    <row r="466" spans="1:73" ht="15">
      <c r="A466"/>
      <c r="J466"/>
      <c r="AA466"/>
      <c r="AB466"/>
      <c r="AC466"/>
      <c r="AD466"/>
      <c r="AE466"/>
      <c r="AF466"/>
      <c r="AG466"/>
      <c r="AH466"/>
      <c r="BQ466" s="2"/>
      <c r="BR466" s="3"/>
      <c r="BS466" s="3"/>
      <c r="BT466" s="3"/>
      <c r="BU466" s="3"/>
    </row>
    <row r="467" spans="1:73" ht="15">
      <c r="A467"/>
      <c r="J467"/>
      <c r="AA467"/>
      <c r="AB467"/>
      <c r="AC467"/>
      <c r="AD467"/>
      <c r="AE467"/>
      <c r="AF467"/>
      <c r="AG467"/>
      <c r="AH467"/>
      <c r="BQ467" s="2"/>
      <c r="BR467" s="3"/>
      <c r="BS467" s="3"/>
      <c r="BT467" s="3"/>
      <c r="BU467" s="3"/>
    </row>
    <row r="468" spans="1:73" ht="15">
      <c r="A468"/>
      <c r="J468"/>
      <c r="AA468"/>
      <c r="AB468"/>
      <c r="AC468"/>
      <c r="AD468"/>
      <c r="AE468"/>
      <c r="AF468"/>
      <c r="AG468"/>
      <c r="AH468"/>
      <c r="BQ468" s="2"/>
      <c r="BR468" s="3"/>
      <c r="BS468" s="3"/>
      <c r="BT468" s="3"/>
      <c r="BU468" s="3"/>
    </row>
    <row r="469" spans="1:73" ht="15">
      <c r="A469"/>
      <c r="J469"/>
      <c r="AA469"/>
      <c r="AB469"/>
      <c r="AC469"/>
      <c r="AD469"/>
      <c r="AE469"/>
      <c r="AF469"/>
      <c r="AG469"/>
      <c r="AH469"/>
      <c r="BQ469" s="2"/>
      <c r="BR469" s="3"/>
      <c r="BS469" s="3"/>
      <c r="BT469" s="3"/>
      <c r="BU469" s="3"/>
    </row>
    <row r="470" spans="1:73" ht="15">
      <c r="A470"/>
      <c r="J470"/>
      <c r="AA470"/>
      <c r="AB470"/>
      <c r="AC470"/>
      <c r="AD470"/>
      <c r="AE470"/>
      <c r="AF470"/>
      <c r="AG470"/>
      <c r="AH470"/>
      <c r="BQ470" s="2"/>
      <c r="BR470" s="3"/>
      <c r="BS470" s="3"/>
      <c r="BT470" s="3"/>
      <c r="BU470" s="3"/>
    </row>
    <row r="471" spans="1:73" ht="15">
      <c r="A471"/>
      <c r="J471"/>
      <c r="AA471"/>
      <c r="AB471"/>
      <c r="AC471"/>
      <c r="AD471"/>
      <c r="AE471"/>
      <c r="AF471"/>
      <c r="AG471"/>
      <c r="AH471"/>
      <c r="BQ471" s="2"/>
      <c r="BR471" s="3"/>
      <c r="BS471" s="3"/>
      <c r="BT471" s="3"/>
      <c r="BU471" s="3"/>
    </row>
    <row r="472" spans="1:73" ht="15">
      <c r="A472"/>
      <c r="J472"/>
      <c r="AA472"/>
      <c r="AB472"/>
      <c r="AC472"/>
      <c r="AD472"/>
      <c r="AE472"/>
      <c r="AF472"/>
      <c r="AG472"/>
      <c r="AH472"/>
      <c r="BQ472" s="2"/>
      <c r="BR472" s="3"/>
      <c r="BS472" s="3"/>
      <c r="BT472" s="3"/>
      <c r="BU472" s="3"/>
    </row>
    <row r="473" spans="1:73" ht="15">
      <c r="A473"/>
      <c r="J473"/>
      <c r="AA473"/>
      <c r="AB473"/>
      <c r="AC473"/>
      <c r="AD473"/>
      <c r="AE473"/>
      <c r="AF473"/>
      <c r="AG473"/>
      <c r="AH473"/>
      <c r="BQ473" s="2"/>
      <c r="BR473" s="3"/>
      <c r="BS473" s="3"/>
      <c r="BT473" s="3"/>
      <c r="BU473" s="3"/>
    </row>
    <row r="474" spans="1:73" ht="15">
      <c r="A474"/>
      <c r="J474"/>
      <c r="AA474"/>
      <c r="AB474"/>
      <c r="AC474"/>
      <c r="AD474"/>
      <c r="AE474"/>
      <c r="AF474"/>
      <c r="AG474"/>
      <c r="AH474"/>
      <c r="BQ474" s="2"/>
      <c r="BR474" s="3"/>
      <c r="BS474" s="3"/>
      <c r="BT474" s="3"/>
      <c r="BU474" s="3"/>
    </row>
    <row r="475" spans="1:73" ht="15">
      <c r="A475"/>
      <c r="J475"/>
      <c r="AA475"/>
      <c r="AB475"/>
      <c r="AC475"/>
      <c r="AD475"/>
      <c r="AE475"/>
      <c r="AF475"/>
      <c r="AG475"/>
      <c r="AH475"/>
      <c r="BQ475" s="2"/>
      <c r="BR475" s="3"/>
      <c r="BS475" s="3"/>
      <c r="BT475" s="3"/>
      <c r="BU475" s="3"/>
    </row>
    <row r="476" spans="1:73" ht="15">
      <c r="A476"/>
      <c r="J476"/>
      <c r="AA476"/>
      <c r="AB476"/>
      <c r="AC476"/>
      <c r="AD476"/>
      <c r="AE476"/>
      <c r="AF476"/>
      <c r="AG476"/>
      <c r="AH476"/>
      <c r="BQ476" s="2"/>
      <c r="BR476" s="3"/>
      <c r="BS476" s="3"/>
      <c r="BT476" s="3"/>
      <c r="BU476" s="3"/>
    </row>
    <row r="477" spans="1:73" ht="15">
      <c r="A477"/>
      <c r="J477"/>
      <c r="AA477"/>
      <c r="AB477"/>
      <c r="AC477"/>
      <c r="AD477"/>
      <c r="AE477"/>
      <c r="AF477"/>
      <c r="AG477"/>
      <c r="AH477"/>
      <c r="BQ477" s="2"/>
      <c r="BR477" s="3"/>
      <c r="BS477" s="3"/>
      <c r="BT477" s="3"/>
      <c r="BU477" s="3"/>
    </row>
    <row r="478" spans="1:73" ht="15">
      <c r="A478"/>
      <c r="J478"/>
      <c r="AA478"/>
      <c r="AB478"/>
      <c r="AC478"/>
      <c r="AD478"/>
      <c r="AE478"/>
      <c r="AF478"/>
      <c r="AG478"/>
      <c r="AH478"/>
      <c r="BQ478" s="2"/>
      <c r="BR478" s="3"/>
      <c r="BS478" s="3"/>
      <c r="BT478" s="3"/>
      <c r="BU478" s="3"/>
    </row>
    <row r="479" spans="1:73" ht="15">
      <c r="A479"/>
      <c r="J479"/>
      <c r="AA479"/>
      <c r="AB479"/>
      <c r="AC479"/>
      <c r="AD479"/>
      <c r="AE479"/>
      <c r="AF479"/>
      <c r="AG479"/>
      <c r="AH479"/>
      <c r="BQ479" s="2"/>
      <c r="BR479" s="3"/>
      <c r="BS479" s="3"/>
      <c r="BT479" s="3"/>
      <c r="BU479" s="3"/>
    </row>
    <row r="480" spans="1:73" ht="15">
      <c r="A480"/>
      <c r="J480"/>
      <c r="AA480"/>
      <c r="AB480"/>
      <c r="AC480"/>
      <c r="AD480"/>
      <c r="AE480"/>
      <c r="AF480"/>
      <c r="AG480"/>
      <c r="AH480"/>
      <c r="BQ480" s="2"/>
      <c r="BR480" s="3"/>
      <c r="BS480" s="3"/>
      <c r="BT480" s="3"/>
      <c r="BU480" s="3"/>
    </row>
    <row r="481" spans="1:73" ht="15">
      <c r="A481"/>
      <c r="J481"/>
      <c r="AA481"/>
      <c r="AB481"/>
      <c r="AC481"/>
      <c r="AD481"/>
      <c r="AE481"/>
      <c r="AF481"/>
      <c r="AG481"/>
      <c r="AH481"/>
      <c r="BQ481" s="2"/>
      <c r="BR481" s="3"/>
      <c r="BS481" s="3"/>
      <c r="BT481" s="3"/>
      <c r="BU481" s="3"/>
    </row>
    <row r="482" spans="1:73" ht="15">
      <c r="A482"/>
      <c r="J482"/>
      <c r="AA482"/>
      <c r="AB482"/>
      <c r="AC482"/>
      <c r="AD482"/>
      <c r="AE482"/>
      <c r="AF482"/>
      <c r="AG482"/>
      <c r="AH482"/>
      <c r="BQ482" s="2"/>
      <c r="BR482" s="3"/>
      <c r="BS482" s="3"/>
      <c r="BT482" s="3"/>
      <c r="BU482" s="3"/>
    </row>
    <row r="483" spans="1:73" ht="15">
      <c r="A483"/>
      <c r="J483"/>
      <c r="AA483"/>
      <c r="AB483"/>
      <c r="AC483"/>
      <c r="AD483"/>
      <c r="AE483"/>
      <c r="AF483"/>
      <c r="AG483"/>
      <c r="AH483"/>
      <c r="BQ483" s="2"/>
      <c r="BR483" s="3"/>
      <c r="BS483" s="3"/>
      <c r="BT483" s="3"/>
      <c r="BU483" s="3"/>
    </row>
    <row r="484" spans="1:73" ht="15">
      <c r="A484"/>
      <c r="J484"/>
      <c r="AA484"/>
      <c r="AB484"/>
      <c r="AC484"/>
      <c r="AD484"/>
      <c r="AE484"/>
      <c r="AF484"/>
      <c r="AG484"/>
      <c r="AH484"/>
      <c r="BQ484" s="2"/>
      <c r="BR484" s="3"/>
      <c r="BS484" s="3"/>
      <c r="BT484" s="3"/>
      <c r="BU484" s="3"/>
    </row>
    <row r="485" spans="1:73" ht="15">
      <c r="A485"/>
      <c r="J485"/>
      <c r="AA485"/>
      <c r="AB485"/>
      <c r="AC485"/>
      <c r="AD485"/>
      <c r="AE485"/>
      <c r="AF485"/>
      <c r="AG485"/>
      <c r="AH485"/>
      <c r="BQ485" s="2"/>
      <c r="BR485" s="3"/>
      <c r="BS485" s="3"/>
      <c r="BT485" s="3"/>
      <c r="BU485" s="3"/>
    </row>
    <row r="486" spans="1:73" ht="15">
      <c r="A486"/>
      <c r="J486"/>
      <c r="AA486"/>
      <c r="AB486"/>
      <c r="AC486"/>
      <c r="AD486"/>
      <c r="AE486"/>
      <c r="AF486"/>
      <c r="AG486"/>
      <c r="AH486"/>
      <c r="BQ486" s="2"/>
      <c r="BR486" s="3"/>
      <c r="BS486" s="3"/>
      <c r="BT486" s="3"/>
      <c r="BU486" s="3"/>
    </row>
    <row r="487" spans="1:73" ht="15">
      <c r="A487"/>
      <c r="J487"/>
      <c r="AA487"/>
      <c r="AB487"/>
      <c r="AC487"/>
      <c r="AD487"/>
      <c r="AE487"/>
      <c r="AF487"/>
      <c r="AG487"/>
      <c r="AH487"/>
      <c r="BQ487" s="2"/>
      <c r="BR487" s="3"/>
      <c r="BS487" s="3"/>
      <c r="BT487" s="3"/>
      <c r="BU487" s="3"/>
    </row>
    <row r="488" spans="1:73" ht="15">
      <c r="A488"/>
      <c r="J488"/>
      <c r="AA488"/>
      <c r="AB488"/>
      <c r="AC488"/>
      <c r="AD488"/>
      <c r="AE488"/>
      <c r="AF488"/>
      <c r="AG488"/>
      <c r="AH488"/>
      <c r="BQ488" s="2"/>
      <c r="BR488" s="3"/>
      <c r="BS488" s="3"/>
      <c r="BT488" s="3"/>
      <c r="BU488" s="3"/>
    </row>
    <row r="489" spans="1:73" ht="15">
      <c r="A489"/>
      <c r="J489"/>
      <c r="AA489"/>
      <c r="AB489"/>
      <c r="AC489"/>
      <c r="AD489"/>
      <c r="AE489"/>
      <c r="AF489"/>
      <c r="AG489"/>
      <c r="AH489"/>
      <c r="BQ489" s="2"/>
      <c r="BR489" s="3"/>
      <c r="BS489" s="3"/>
      <c r="BT489" s="3"/>
      <c r="BU489" s="3"/>
    </row>
    <row r="490" spans="1:73" ht="15">
      <c r="A490"/>
      <c r="J490"/>
      <c r="AA490"/>
      <c r="AB490"/>
      <c r="AC490"/>
      <c r="AD490"/>
      <c r="AE490"/>
      <c r="AF490"/>
      <c r="AG490"/>
      <c r="AH490"/>
      <c r="BQ490" s="2"/>
      <c r="BR490" s="3"/>
      <c r="BS490" s="3"/>
      <c r="BT490" s="3"/>
      <c r="BU490" s="3"/>
    </row>
    <row r="491" spans="1:73" ht="15">
      <c r="A491"/>
      <c r="J491"/>
      <c r="AA491"/>
      <c r="AB491"/>
      <c r="AC491"/>
      <c r="AD491"/>
      <c r="AE491"/>
      <c r="AF491"/>
      <c r="AG491"/>
      <c r="AH491"/>
      <c r="BQ491" s="2"/>
      <c r="BR491" s="3"/>
      <c r="BS491" s="3"/>
      <c r="BT491" s="3"/>
      <c r="BU491" s="3"/>
    </row>
    <row r="492" spans="1:73" ht="15">
      <c r="A492"/>
      <c r="J492"/>
      <c r="AA492"/>
      <c r="AB492"/>
      <c r="AC492"/>
      <c r="AD492"/>
      <c r="AE492"/>
      <c r="AF492"/>
      <c r="AG492"/>
      <c r="AH492"/>
      <c r="BQ492" s="2"/>
      <c r="BR492" s="3"/>
      <c r="BS492" s="3"/>
      <c r="BT492" s="3"/>
      <c r="BU492" s="3"/>
    </row>
    <row r="493" spans="1:73" ht="15">
      <c r="A493"/>
      <c r="J493"/>
      <c r="AA493"/>
      <c r="AB493"/>
      <c r="AC493"/>
      <c r="AD493"/>
      <c r="AE493"/>
      <c r="AF493"/>
      <c r="AG493"/>
      <c r="AH493"/>
      <c r="BQ493" s="2"/>
      <c r="BR493" s="3"/>
      <c r="BS493" s="3"/>
      <c r="BT493" s="3"/>
      <c r="BU493" s="3"/>
    </row>
    <row r="494" spans="1:73" ht="15">
      <c r="A494"/>
      <c r="J494"/>
      <c r="AA494"/>
      <c r="AB494"/>
      <c r="AC494"/>
      <c r="AD494"/>
      <c r="AE494"/>
      <c r="AF494"/>
      <c r="AG494"/>
      <c r="AH494"/>
      <c r="BQ494" s="2"/>
      <c r="BR494" s="3"/>
      <c r="BS494" s="3"/>
      <c r="BT494" s="3"/>
      <c r="BU494" s="3"/>
    </row>
    <row r="495" spans="1:73" ht="15">
      <c r="A495"/>
      <c r="J495"/>
      <c r="AA495"/>
      <c r="AB495"/>
      <c r="AC495"/>
      <c r="AD495"/>
      <c r="AE495"/>
      <c r="AF495"/>
      <c r="AG495"/>
      <c r="AH495"/>
      <c r="BQ495" s="2"/>
      <c r="BR495" s="3"/>
      <c r="BS495" s="3"/>
      <c r="BT495" s="3"/>
      <c r="BU495" s="3"/>
    </row>
    <row r="496" spans="1:73" ht="15">
      <c r="A496"/>
      <c r="J496"/>
      <c r="AA496"/>
      <c r="AB496"/>
      <c r="AC496"/>
      <c r="AD496"/>
      <c r="AE496"/>
      <c r="AF496"/>
      <c r="AG496"/>
      <c r="AH496"/>
      <c r="BQ496" s="2"/>
      <c r="BR496" s="3"/>
      <c r="BS496" s="3"/>
      <c r="BT496" s="3"/>
      <c r="BU496" s="3"/>
    </row>
    <row r="497" spans="1:73" ht="15">
      <c r="A497"/>
      <c r="J497"/>
      <c r="AA497"/>
      <c r="AB497"/>
      <c r="AC497"/>
      <c r="AD497"/>
      <c r="AE497"/>
      <c r="AF497"/>
      <c r="AG497"/>
      <c r="AH497"/>
      <c r="BQ497" s="2"/>
      <c r="BR497" s="3"/>
      <c r="BS497" s="3"/>
      <c r="BT497" s="3"/>
      <c r="BU497" s="3"/>
    </row>
    <row r="498" spans="1:73" ht="15">
      <c r="A498"/>
      <c r="J498"/>
      <c r="AA498"/>
      <c r="AB498"/>
      <c r="AC498"/>
      <c r="AD498"/>
      <c r="AE498"/>
      <c r="AF498"/>
      <c r="AG498"/>
      <c r="AH498"/>
      <c r="BQ498" s="2"/>
      <c r="BR498" s="3"/>
      <c r="BS498" s="3"/>
      <c r="BT498" s="3"/>
      <c r="BU498" s="3"/>
    </row>
    <row r="499" spans="1:73" ht="15">
      <c r="A499"/>
      <c r="J499"/>
      <c r="AA499"/>
      <c r="AB499"/>
      <c r="AC499"/>
      <c r="AD499"/>
      <c r="AE499"/>
      <c r="AF499"/>
      <c r="AG499"/>
      <c r="AH499"/>
      <c r="BQ499" s="2"/>
      <c r="BR499" s="3"/>
      <c r="BS499" s="3"/>
      <c r="BT499" s="3"/>
      <c r="BU499" s="3"/>
    </row>
    <row r="500" spans="1:73" ht="15">
      <c r="A500"/>
      <c r="J500"/>
      <c r="AA500"/>
      <c r="AB500"/>
      <c r="AC500"/>
      <c r="AD500"/>
      <c r="AE500"/>
      <c r="AF500"/>
      <c r="AG500"/>
      <c r="AH500"/>
      <c r="BQ500" s="2"/>
      <c r="BR500" s="3"/>
      <c r="BS500" s="3"/>
      <c r="BT500" s="3"/>
      <c r="BU500" s="3"/>
    </row>
    <row r="501" spans="1:73" ht="15">
      <c r="A501"/>
      <c r="J501"/>
      <c r="AA501"/>
      <c r="AB501"/>
      <c r="AC501"/>
      <c r="AD501"/>
      <c r="AE501"/>
      <c r="AF501"/>
      <c r="AG501"/>
      <c r="AH501"/>
      <c r="BQ501" s="2"/>
      <c r="BR501" s="3"/>
      <c r="BS501" s="3"/>
      <c r="BT501" s="3"/>
      <c r="BU501" s="3"/>
    </row>
    <row r="502" spans="1:73" ht="15">
      <c r="A502"/>
      <c r="J502"/>
      <c r="AA502"/>
      <c r="AB502"/>
      <c r="AC502"/>
      <c r="AD502"/>
      <c r="AE502"/>
      <c r="AF502"/>
      <c r="AG502"/>
      <c r="AH502"/>
      <c r="BQ502" s="2"/>
      <c r="BR502" s="3"/>
      <c r="BS502" s="3"/>
      <c r="BT502" s="3"/>
      <c r="BU502" s="3"/>
    </row>
    <row r="503" spans="1:73" ht="15">
      <c r="A503"/>
      <c r="J503"/>
      <c r="AA503"/>
      <c r="AB503"/>
      <c r="AC503"/>
      <c r="AD503"/>
      <c r="AE503"/>
      <c r="AF503"/>
      <c r="AG503"/>
      <c r="AH503"/>
      <c r="BQ503" s="2"/>
      <c r="BR503" s="3"/>
      <c r="BS503" s="3"/>
      <c r="BT503" s="3"/>
      <c r="BU503" s="3"/>
    </row>
    <row r="504" spans="1:73" ht="15">
      <c r="A504"/>
      <c r="J504"/>
      <c r="AA504"/>
      <c r="AB504"/>
      <c r="AC504"/>
      <c r="AD504"/>
      <c r="AE504"/>
      <c r="AF504"/>
      <c r="AG504"/>
      <c r="AH504"/>
      <c r="BQ504" s="2"/>
      <c r="BR504" s="3"/>
      <c r="BS504" s="3"/>
      <c r="BT504" s="3"/>
      <c r="BU504" s="3"/>
    </row>
    <row r="505" spans="1:73" ht="15">
      <c r="A505"/>
      <c r="J505"/>
      <c r="AA505"/>
      <c r="AB505"/>
      <c r="AC505"/>
      <c r="AD505"/>
      <c r="AE505"/>
      <c r="AF505"/>
      <c r="AG505"/>
      <c r="AH505"/>
      <c r="BQ505" s="2"/>
      <c r="BR505" s="3"/>
      <c r="BS505" s="3"/>
      <c r="BT505" s="3"/>
      <c r="BU505" s="3"/>
    </row>
    <row r="506" spans="1:73" ht="15">
      <c r="A506"/>
      <c r="J506"/>
      <c r="AA506"/>
      <c r="AB506"/>
      <c r="AC506"/>
      <c r="AD506"/>
      <c r="AE506"/>
      <c r="AF506"/>
      <c r="AG506"/>
      <c r="AH506"/>
      <c r="BQ506" s="2"/>
      <c r="BR506" s="3"/>
      <c r="BS506" s="3"/>
      <c r="BT506" s="3"/>
      <c r="BU506" s="3"/>
    </row>
    <row r="507" spans="1:73" ht="15">
      <c r="A507"/>
      <c r="J507"/>
      <c r="AA507"/>
      <c r="AB507"/>
      <c r="AC507"/>
      <c r="AD507"/>
      <c r="AE507"/>
      <c r="AF507"/>
      <c r="AG507"/>
      <c r="AH507"/>
      <c r="BQ507" s="2"/>
      <c r="BR507" s="3"/>
      <c r="BS507" s="3"/>
      <c r="BT507" s="3"/>
      <c r="BU507" s="3"/>
    </row>
    <row r="508" spans="1:73" ht="15">
      <c r="A508"/>
      <c r="J508"/>
      <c r="AA508"/>
      <c r="AB508"/>
      <c r="AC508"/>
      <c r="AD508"/>
      <c r="AE508"/>
      <c r="AF508"/>
      <c r="AG508"/>
      <c r="AH508"/>
      <c r="BQ508" s="2"/>
      <c r="BR508" s="3"/>
      <c r="BS508" s="3"/>
      <c r="BT508" s="3"/>
      <c r="BU508" s="3"/>
    </row>
    <row r="509" spans="1:73" ht="15">
      <c r="A509"/>
      <c r="J509"/>
      <c r="AA509"/>
      <c r="AB509"/>
      <c r="AC509"/>
      <c r="AD509"/>
      <c r="AE509"/>
      <c r="AF509"/>
      <c r="AG509"/>
      <c r="AH509"/>
      <c r="BQ509" s="2"/>
      <c r="BR509" s="3"/>
      <c r="BS509" s="3"/>
      <c r="BT509" s="3"/>
      <c r="BU509" s="3"/>
    </row>
    <row r="510" spans="1:73" ht="15">
      <c r="A510"/>
      <c r="J510"/>
      <c r="AA510"/>
      <c r="AB510"/>
      <c r="AC510"/>
      <c r="AD510"/>
      <c r="AE510"/>
      <c r="AF510"/>
      <c r="AG510"/>
      <c r="AH510"/>
      <c r="BQ510" s="2"/>
      <c r="BR510" s="3"/>
      <c r="BS510" s="3"/>
      <c r="BT510" s="3"/>
      <c r="BU510" s="3"/>
    </row>
    <row r="511" spans="1:73" ht="15">
      <c r="A511"/>
      <c r="J511"/>
      <c r="AA511"/>
      <c r="AB511"/>
      <c r="AC511"/>
      <c r="AD511"/>
      <c r="AE511"/>
      <c r="AF511"/>
      <c r="AG511"/>
      <c r="AH511"/>
      <c r="BQ511" s="2"/>
      <c r="BR511" s="3"/>
      <c r="BS511" s="3"/>
      <c r="BT511" s="3"/>
      <c r="BU511" s="3"/>
    </row>
    <row r="512" spans="1:73" ht="15">
      <c r="A512"/>
      <c r="J512"/>
      <c r="AA512"/>
      <c r="AB512"/>
      <c r="AC512"/>
      <c r="AD512"/>
      <c r="AE512"/>
      <c r="AF512"/>
      <c r="AG512"/>
      <c r="AH512"/>
      <c r="BQ512" s="2"/>
      <c r="BR512" s="3"/>
      <c r="BS512" s="3"/>
      <c r="BT512" s="3"/>
      <c r="BU512" s="3"/>
    </row>
    <row r="513" spans="1:73" ht="15">
      <c r="A513"/>
      <c r="J513"/>
      <c r="AA513"/>
      <c r="AB513"/>
      <c r="AC513"/>
      <c r="AD513"/>
      <c r="AE513"/>
      <c r="AF513"/>
      <c r="AG513"/>
      <c r="AH513"/>
      <c r="BQ513" s="2"/>
      <c r="BR513" s="3"/>
      <c r="BS513" s="3"/>
      <c r="BT513" s="3"/>
      <c r="BU513" s="3"/>
    </row>
    <row r="514" spans="1:73" ht="15">
      <c r="A514"/>
      <c r="J514"/>
      <c r="AA514"/>
      <c r="AB514"/>
      <c r="AC514"/>
      <c r="AD514"/>
      <c r="AE514"/>
      <c r="AF514"/>
      <c r="AG514"/>
      <c r="AH514"/>
      <c r="BQ514" s="2"/>
      <c r="BR514" s="3"/>
      <c r="BS514" s="3"/>
      <c r="BT514" s="3"/>
      <c r="BU514" s="3"/>
    </row>
    <row r="515" spans="1:73" ht="15">
      <c r="A515"/>
      <c r="J515"/>
      <c r="AA515"/>
      <c r="AB515"/>
      <c r="AC515"/>
      <c r="AD515"/>
      <c r="AE515"/>
      <c r="AF515"/>
      <c r="AG515"/>
      <c r="AH515"/>
      <c r="BQ515" s="2"/>
      <c r="BR515" s="3"/>
      <c r="BS515" s="3"/>
      <c r="BT515" s="3"/>
      <c r="BU515" s="3"/>
    </row>
    <row r="516" spans="1:73" ht="15">
      <c r="A516"/>
      <c r="J516"/>
      <c r="AA516"/>
      <c r="AB516"/>
      <c r="AC516"/>
      <c r="AD516"/>
      <c r="AE516"/>
      <c r="AF516"/>
      <c r="AG516"/>
      <c r="AH516"/>
      <c r="BQ516" s="2"/>
      <c r="BR516" s="3"/>
      <c r="BS516" s="3"/>
      <c r="BT516" s="3"/>
      <c r="BU516" s="3"/>
    </row>
    <row r="517" spans="1:73" ht="15">
      <c r="A517"/>
      <c r="J517"/>
      <c r="AA517"/>
      <c r="AB517"/>
      <c r="AC517"/>
      <c r="AD517"/>
      <c r="AE517"/>
      <c r="AF517"/>
      <c r="AG517"/>
      <c r="AH517"/>
      <c r="BQ517" s="2"/>
      <c r="BR517" s="3"/>
      <c r="BS517" s="3"/>
      <c r="BT517" s="3"/>
      <c r="BU517" s="3"/>
    </row>
    <row r="518" spans="1:73" ht="15">
      <c r="A518"/>
      <c r="J518"/>
      <c r="AA518"/>
      <c r="AB518"/>
      <c r="AC518"/>
      <c r="AD518"/>
      <c r="AE518"/>
      <c r="AF518"/>
      <c r="AG518"/>
      <c r="AH518"/>
      <c r="BQ518" s="2"/>
      <c r="BR518" s="3"/>
      <c r="BS518" s="3"/>
      <c r="BT518" s="3"/>
      <c r="BU518" s="3"/>
    </row>
    <row r="519" spans="1:73" ht="15">
      <c r="A519"/>
      <c r="J519"/>
      <c r="AA519"/>
      <c r="AB519"/>
      <c r="AC519"/>
      <c r="AD519"/>
      <c r="AE519"/>
      <c r="AF519"/>
      <c r="AG519"/>
      <c r="AH519"/>
      <c r="BQ519" s="2"/>
      <c r="BR519" s="3"/>
      <c r="BS519" s="3"/>
      <c r="BT519" s="3"/>
      <c r="BU519" s="3"/>
    </row>
    <row r="520" spans="1:73" ht="15">
      <c r="A520"/>
      <c r="J520"/>
      <c r="AA520"/>
      <c r="AB520"/>
      <c r="AC520"/>
      <c r="AD520"/>
      <c r="AE520"/>
      <c r="AF520"/>
      <c r="AG520"/>
      <c r="AH520"/>
      <c r="BQ520" s="2"/>
      <c r="BR520" s="3"/>
      <c r="BS520" s="3"/>
      <c r="BT520" s="3"/>
      <c r="BU520" s="3"/>
    </row>
    <row r="521" spans="1:73" ht="15">
      <c r="A521"/>
      <c r="J521"/>
      <c r="AA521"/>
      <c r="AB521"/>
      <c r="AC521"/>
      <c r="AD521"/>
      <c r="AE521"/>
      <c r="AF521"/>
      <c r="AG521"/>
      <c r="AH521"/>
      <c r="BQ521" s="2"/>
      <c r="BR521" s="3"/>
      <c r="BS521" s="3"/>
      <c r="BT521" s="3"/>
      <c r="BU521" s="3"/>
    </row>
    <row r="522" spans="1:73" ht="15">
      <c r="A522"/>
      <c r="J522"/>
      <c r="AA522"/>
      <c r="AB522"/>
      <c r="AC522"/>
      <c r="AD522"/>
      <c r="AE522"/>
      <c r="AF522"/>
      <c r="AG522"/>
      <c r="AH522"/>
      <c r="BQ522" s="2"/>
      <c r="BR522" s="3"/>
      <c r="BS522" s="3"/>
      <c r="BT522" s="3"/>
      <c r="BU522" s="3"/>
    </row>
    <row r="523" spans="1:73" ht="15">
      <c r="A523"/>
      <c r="J523"/>
      <c r="AA523"/>
      <c r="AB523"/>
      <c r="AC523"/>
      <c r="AD523"/>
      <c r="AE523"/>
      <c r="AF523"/>
      <c r="AG523"/>
      <c r="AH523"/>
      <c r="BQ523" s="2"/>
      <c r="BR523" s="3"/>
      <c r="BS523" s="3"/>
      <c r="BT523" s="3"/>
      <c r="BU523" s="3"/>
    </row>
    <row r="524" spans="1:73" ht="15">
      <c r="A524"/>
      <c r="J524"/>
      <c r="AA524"/>
      <c r="AB524"/>
      <c r="AC524"/>
      <c r="AD524"/>
      <c r="AE524"/>
      <c r="AF524"/>
      <c r="AG524"/>
      <c r="AH524"/>
      <c r="BQ524" s="2"/>
      <c r="BR524" s="3"/>
      <c r="BS524" s="3"/>
      <c r="BT524" s="3"/>
      <c r="BU524" s="3"/>
    </row>
    <row r="525" spans="1:73" ht="15">
      <c r="A525"/>
      <c r="J525"/>
      <c r="AA525"/>
      <c r="AB525"/>
      <c r="AC525"/>
      <c r="AD525"/>
      <c r="AE525"/>
      <c r="AF525"/>
      <c r="AG525"/>
      <c r="AH525"/>
      <c r="BQ525" s="2"/>
      <c r="BR525" s="3"/>
      <c r="BS525" s="3"/>
      <c r="BT525" s="3"/>
      <c r="BU525" s="3"/>
    </row>
    <row r="526" spans="1:73" ht="15">
      <c r="A526"/>
      <c r="J526"/>
      <c r="AA526"/>
      <c r="AB526"/>
      <c r="AC526"/>
      <c r="AD526"/>
      <c r="AE526"/>
      <c r="AF526"/>
      <c r="AG526"/>
      <c r="AH526"/>
      <c r="BQ526" s="2"/>
      <c r="BR526" s="3"/>
      <c r="BS526" s="3"/>
      <c r="BT526" s="3"/>
      <c r="BU526" s="3"/>
    </row>
    <row r="527" spans="1:73" ht="15">
      <c r="A527"/>
      <c r="J527"/>
      <c r="AA527"/>
      <c r="AB527"/>
      <c r="AC527"/>
      <c r="AD527"/>
      <c r="AE527"/>
      <c r="AF527"/>
      <c r="AG527"/>
      <c r="AH527"/>
      <c r="BQ527" s="2"/>
      <c r="BR527" s="3"/>
      <c r="BS527" s="3"/>
      <c r="BT527" s="3"/>
      <c r="BU527" s="3"/>
    </row>
    <row r="528" spans="1:73" ht="15">
      <c r="A528"/>
      <c r="J528"/>
      <c r="AA528"/>
      <c r="AB528"/>
      <c r="AC528"/>
      <c r="AD528"/>
      <c r="AE528"/>
      <c r="AF528"/>
      <c r="AG528"/>
      <c r="AH528"/>
      <c r="BQ528" s="2"/>
      <c r="BR528" s="3"/>
      <c r="BS528" s="3"/>
      <c r="BT528" s="3"/>
      <c r="BU528" s="3"/>
    </row>
    <row r="529" spans="1:73" ht="15">
      <c r="A529"/>
      <c r="J529"/>
      <c r="AA529"/>
      <c r="AB529"/>
      <c r="AC529"/>
      <c r="AD529"/>
      <c r="AE529"/>
      <c r="AF529"/>
      <c r="AG529"/>
      <c r="AH529"/>
      <c r="BQ529" s="2"/>
      <c r="BR529" s="3"/>
      <c r="BS529" s="3"/>
      <c r="BT529" s="3"/>
      <c r="BU529" s="3"/>
    </row>
    <row r="530" spans="1:73" ht="15">
      <c r="A530"/>
      <c r="J530"/>
      <c r="AA530"/>
      <c r="AB530"/>
      <c r="AC530"/>
      <c r="AD530"/>
      <c r="AE530"/>
      <c r="AF530"/>
      <c r="AG530"/>
      <c r="AH530"/>
      <c r="BQ530" s="2"/>
      <c r="BR530" s="3"/>
      <c r="BS530" s="3"/>
      <c r="BT530" s="3"/>
      <c r="BU530" s="3"/>
    </row>
    <row r="531" spans="1:73" ht="15">
      <c r="A531"/>
      <c r="J531"/>
      <c r="AA531"/>
      <c r="AB531"/>
      <c r="AC531"/>
      <c r="AD531"/>
      <c r="AE531"/>
      <c r="AF531"/>
      <c r="AG531"/>
      <c r="AH531"/>
      <c r="BQ531" s="2"/>
      <c r="BR531" s="3"/>
      <c r="BS531" s="3"/>
      <c r="BT531" s="3"/>
      <c r="BU531" s="3"/>
    </row>
    <row r="532" spans="1:73" ht="15">
      <c r="A532"/>
      <c r="J532"/>
      <c r="AA532"/>
      <c r="AB532"/>
      <c r="AC532"/>
      <c r="AD532"/>
      <c r="AE532"/>
      <c r="AF532"/>
      <c r="AG532"/>
      <c r="AH532"/>
      <c r="BQ532" s="2"/>
      <c r="BR532" s="3"/>
      <c r="BS532" s="3"/>
      <c r="BT532" s="3"/>
      <c r="BU532" s="3"/>
    </row>
    <row r="533" spans="1:73" ht="15">
      <c r="A533"/>
      <c r="J533"/>
      <c r="AA533"/>
      <c r="AB533"/>
      <c r="AC533"/>
      <c r="AD533"/>
      <c r="AE533"/>
      <c r="AF533"/>
      <c r="AG533"/>
      <c r="AH533"/>
      <c r="BQ533" s="2"/>
      <c r="BR533" s="3"/>
      <c r="BS533" s="3"/>
      <c r="BT533" s="3"/>
      <c r="BU533" s="3"/>
    </row>
    <row r="534" spans="1:73" ht="15">
      <c r="A534"/>
      <c r="J534"/>
      <c r="AA534"/>
      <c r="AB534"/>
      <c r="AC534"/>
      <c r="AD534"/>
      <c r="AE534"/>
      <c r="AF534"/>
      <c r="AG534"/>
      <c r="AH534"/>
      <c r="BQ534" s="2"/>
      <c r="BR534" s="3"/>
      <c r="BS534" s="3"/>
      <c r="BT534" s="3"/>
      <c r="BU534" s="3"/>
    </row>
    <row r="535" spans="1:73" ht="15">
      <c r="A535"/>
      <c r="J535"/>
      <c r="AA535"/>
      <c r="AB535"/>
      <c r="AC535"/>
      <c r="AD535"/>
      <c r="AE535"/>
      <c r="AF535"/>
      <c r="AG535"/>
      <c r="AH535"/>
      <c r="BQ535" s="2"/>
      <c r="BR535" s="3"/>
      <c r="BS535" s="3"/>
      <c r="BT535" s="3"/>
      <c r="BU535" s="3"/>
    </row>
    <row r="536" spans="1:73" ht="15">
      <c r="A536"/>
      <c r="J536"/>
      <c r="AA536"/>
      <c r="AB536"/>
      <c r="AC536"/>
      <c r="AD536"/>
      <c r="AE536"/>
      <c r="AF536"/>
      <c r="AG536"/>
      <c r="AH536"/>
      <c r="BQ536" s="2"/>
      <c r="BR536" s="3"/>
      <c r="BS536" s="3"/>
      <c r="BT536" s="3"/>
      <c r="BU536" s="3"/>
    </row>
    <row r="537" spans="1:73" ht="15">
      <c r="A537"/>
      <c r="J537"/>
      <c r="AA537"/>
      <c r="AB537"/>
      <c r="AC537"/>
      <c r="AD537"/>
      <c r="AE537"/>
      <c r="AF537"/>
      <c r="AG537"/>
      <c r="AH537"/>
      <c r="BQ537" s="2"/>
      <c r="BR537" s="3"/>
      <c r="BS537" s="3"/>
      <c r="BT537" s="3"/>
      <c r="BU537" s="3"/>
    </row>
    <row r="538" spans="1:73" ht="15">
      <c r="A538"/>
      <c r="J538"/>
      <c r="AA538"/>
      <c r="AB538"/>
      <c r="AC538"/>
      <c r="AD538"/>
      <c r="AE538"/>
      <c r="AF538"/>
      <c r="AG538"/>
      <c r="AH538"/>
      <c r="BQ538" s="2"/>
      <c r="BR538" s="3"/>
      <c r="BS538" s="3"/>
      <c r="BT538" s="3"/>
      <c r="BU538" s="3"/>
    </row>
    <row r="539" spans="1:73" ht="15">
      <c r="A539"/>
      <c r="J539"/>
      <c r="AA539"/>
      <c r="AB539"/>
      <c r="AC539"/>
      <c r="AD539"/>
      <c r="AE539"/>
      <c r="AF539"/>
      <c r="AG539"/>
      <c r="AH539"/>
      <c r="BQ539" s="2"/>
      <c r="BR539" s="3"/>
      <c r="BS539" s="3"/>
      <c r="BT539" s="3"/>
      <c r="BU539" s="3"/>
    </row>
    <row r="540" spans="1:73" ht="15">
      <c r="A540"/>
      <c r="J540"/>
      <c r="AA540"/>
      <c r="AB540"/>
      <c r="AC540"/>
      <c r="AD540"/>
      <c r="AE540"/>
      <c r="AF540"/>
      <c r="AG540"/>
      <c r="AH540"/>
      <c r="BQ540" s="2"/>
      <c r="BR540" s="3"/>
      <c r="BS540" s="3"/>
      <c r="BT540" s="3"/>
      <c r="BU540" s="3"/>
    </row>
    <row r="541" spans="1:73" ht="15">
      <c r="A541"/>
      <c r="J541"/>
      <c r="AA541"/>
      <c r="AB541"/>
      <c r="AC541"/>
      <c r="AD541"/>
      <c r="AE541"/>
      <c r="AF541"/>
      <c r="AG541"/>
      <c r="AH541"/>
      <c r="BQ541" s="2"/>
      <c r="BR541" s="3"/>
      <c r="BS541" s="3"/>
      <c r="BT541" s="3"/>
      <c r="BU541" s="3"/>
    </row>
    <row r="542" spans="1:73" ht="15">
      <c r="A542"/>
      <c r="J542"/>
      <c r="AA542"/>
      <c r="AB542"/>
      <c r="AC542"/>
      <c r="AD542"/>
      <c r="AE542"/>
      <c r="AF542"/>
      <c r="AG542"/>
      <c r="AH542"/>
      <c r="BQ542" s="2"/>
      <c r="BR542" s="3"/>
      <c r="BS542" s="3"/>
      <c r="BT542" s="3"/>
      <c r="BU542" s="3"/>
    </row>
    <row r="543" spans="1:73" ht="15">
      <c r="A543"/>
      <c r="J543"/>
      <c r="AA543"/>
      <c r="AB543"/>
      <c r="AC543"/>
      <c r="AD543"/>
      <c r="AE543"/>
      <c r="AF543"/>
      <c r="AG543"/>
      <c r="AH543"/>
      <c r="BQ543" s="2"/>
      <c r="BR543" s="3"/>
      <c r="BS543" s="3"/>
      <c r="BT543" s="3"/>
      <c r="BU543" s="3"/>
    </row>
    <row r="544" spans="1:73" ht="15">
      <c r="A544"/>
      <c r="J544"/>
      <c r="AA544"/>
      <c r="AB544"/>
      <c r="AC544"/>
      <c r="AD544"/>
      <c r="AE544"/>
      <c r="AF544"/>
      <c r="AG544"/>
      <c r="AH544"/>
      <c r="BQ544" s="2"/>
      <c r="BR544" s="3"/>
      <c r="BS544" s="3"/>
      <c r="BT544" s="3"/>
      <c r="BU544" s="3"/>
    </row>
    <row r="545" spans="1:73" ht="15">
      <c r="A545"/>
      <c r="J545"/>
      <c r="AA545"/>
      <c r="AB545"/>
      <c r="AC545"/>
      <c r="AD545"/>
      <c r="AE545"/>
      <c r="AF545"/>
      <c r="AG545"/>
      <c r="AH545"/>
      <c r="BQ545" s="2"/>
      <c r="BR545" s="3"/>
      <c r="BS545" s="3"/>
      <c r="BT545" s="3"/>
      <c r="BU545" s="3"/>
    </row>
    <row r="546" spans="1:73" ht="15">
      <c r="A546"/>
      <c r="J546"/>
      <c r="AA546"/>
      <c r="AB546"/>
      <c r="AC546"/>
      <c r="AD546"/>
      <c r="AE546"/>
      <c r="AF546"/>
      <c r="AG546"/>
      <c r="AH546"/>
      <c r="BQ546" s="2"/>
      <c r="BR546" s="3"/>
      <c r="BS546" s="3"/>
      <c r="BT546" s="3"/>
      <c r="BU546" s="3"/>
    </row>
    <row r="547" spans="1:73" ht="15">
      <c r="A547"/>
      <c r="J547"/>
      <c r="AA547"/>
      <c r="AB547"/>
      <c r="AC547"/>
      <c r="AD547"/>
      <c r="AE547"/>
      <c r="AF547"/>
      <c r="AG547"/>
      <c r="AH547"/>
      <c r="BQ547" s="2"/>
      <c r="BR547" s="3"/>
      <c r="BS547" s="3"/>
      <c r="BT547" s="3"/>
      <c r="BU547" s="3"/>
    </row>
    <row r="548" spans="1:73" ht="15">
      <c r="A548"/>
      <c r="J548"/>
      <c r="AA548"/>
      <c r="AB548"/>
      <c r="AC548"/>
      <c r="AD548"/>
      <c r="AE548"/>
      <c r="AF548"/>
      <c r="AG548"/>
      <c r="AH548"/>
      <c r="BQ548" s="2"/>
      <c r="BR548" s="3"/>
      <c r="BS548" s="3"/>
      <c r="BT548" s="3"/>
      <c r="BU548" s="3"/>
    </row>
    <row r="549" spans="1:73" ht="15">
      <c r="A549"/>
      <c r="J549"/>
      <c r="AA549"/>
      <c r="AB549"/>
      <c r="AC549"/>
      <c r="AD549"/>
      <c r="AE549"/>
      <c r="AF549"/>
      <c r="AG549"/>
      <c r="AH549"/>
      <c r="BQ549" s="2"/>
      <c r="BR549" s="3"/>
      <c r="BS549" s="3"/>
      <c r="BT549" s="3"/>
      <c r="BU549" s="3"/>
    </row>
    <row r="550" spans="1:73" ht="15">
      <c r="A550"/>
      <c r="J550"/>
      <c r="AA550"/>
      <c r="AB550"/>
      <c r="AC550"/>
      <c r="AD550"/>
      <c r="AE550"/>
      <c r="AF550"/>
      <c r="AG550"/>
      <c r="AH550"/>
      <c r="BQ550" s="2"/>
      <c r="BR550" s="3"/>
      <c r="BS550" s="3"/>
      <c r="BT550" s="3"/>
      <c r="BU550" s="3"/>
    </row>
    <row r="551" spans="1:73" ht="15">
      <c r="A551"/>
      <c r="J551"/>
      <c r="AA551"/>
      <c r="AB551"/>
      <c r="AC551"/>
      <c r="AD551"/>
      <c r="AE551"/>
      <c r="AF551"/>
      <c r="AG551"/>
      <c r="AH551"/>
      <c r="BQ551" s="2"/>
      <c r="BR551" s="3"/>
      <c r="BS551" s="3"/>
      <c r="BT551" s="3"/>
      <c r="BU551" s="3"/>
    </row>
    <row r="552" spans="1:73" ht="15">
      <c r="A552"/>
      <c r="J552"/>
      <c r="AA552"/>
      <c r="AB552"/>
      <c r="AC552"/>
      <c r="AD552"/>
      <c r="AE552"/>
      <c r="AF552"/>
      <c r="AG552"/>
      <c r="AH552"/>
      <c r="BQ552" s="2"/>
      <c r="BR552" s="3"/>
      <c r="BS552" s="3"/>
      <c r="BT552" s="3"/>
      <c r="BU552" s="3"/>
    </row>
    <row r="553" spans="1:73" ht="15">
      <c r="A553"/>
      <c r="J553"/>
      <c r="AA553"/>
      <c r="AB553"/>
      <c r="AC553"/>
      <c r="AD553"/>
      <c r="AE553"/>
      <c r="AF553"/>
      <c r="AG553"/>
      <c r="AH553"/>
      <c r="BQ553" s="2"/>
      <c r="BR553" s="3"/>
      <c r="BS553" s="3"/>
      <c r="BT553" s="3"/>
      <c r="BU553" s="3"/>
    </row>
    <row r="554" spans="1:73" ht="15">
      <c r="A554"/>
      <c r="J554"/>
      <c r="AA554"/>
      <c r="AB554"/>
      <c r="AC554"/>
      <c r="AD554"/>
      <c r="AE554"/>
      <c r="AF554"/>
      <c r="AG554"/>
      <c r="AH554"/>
      <c r="BQ554" s="2"/>
      <c r="BR554" s="3"/>
      <c r="BS554" s="3"/>
      <c r="BT554" s="3"/>
      <c r="BU554" s="3"/>
    </row>
    <row r="555" spans="1:73" ht="15">
      <c r="A555"/>
      <c r="J555"/>
      <c r="AA555"/>
      <c r="AB555"/>
      <c r="AC555"/>
      <c r="AD555"/>
      <c r="AE555"/>
      <c r="AF555"/>
      <c r="AG555"/>
      <c r="AH555"/>
      <c r="BQ555" s="2"/>
      <c r="BR555" s="3"/>
      <c r="BS555" s="3"/>
      <c r="BT555" s="3"/>
      <c r="BU555" s="3"/>
    </row>
    <row r="556" spans="1:73" ht="15">
      <c r="A556"/>
      <c r="J556"/>
      <c r="AA556"/>
      <c r="AB556"/>
      <c r="AC556"/>
      <c r="AD556"/>
      <c r="AE556"/>
      <c r="AF556"/>
      <c r="AG556"/>
      <c r="AH556"/>
      <c r="BQ556" s="2"/>
      <c r="BR556" s="3"/>
      <c r="BS556" s="3"/>
      <c r="BT556" s="3"/>
      <c r="BU556" s="3"/>
    </row>
    <row r="557" spans="1:73" ht="15">
      <c r="A557"/>
      <c r="J557"/>
      <c r="AA557"/>
      <c r="AB557"/>
      <c r="AC557"/>
      <c r="AD557"/>
      <c r="AE557"/>
      <c r="AF557"/>
      <c r="AG557"/>
      <c r="AH557"/>
      <c r="BQ557" s="2"/>
      <c r="BR557" s="3"/>
      <c r="BS557" s="3"/>
      <c r="BT557" s="3"/>
      <c r="BU557" s="3"/>
    </row>
    <row r="558" spans="1:73" ht="15">
      <c r="A558"/>
      <c r="J558"/>
      <c r="AA558"/>
      <c r="AB558"/>
      <c r="AC558"/>
      <c r="AD558"/>
      <c r="AE558"/>
      <c r="AF558"/>
      <c r="AG558"/>
      <c r="AH558"/>
      <c r="BQ558" s="2"/>
      <c r="BR558" s="3"/>
      <c r="BS558" s="3"/>
      <c r="BT558" s="3"/>
      <c r="BU558" s="3"/>
    </row>
    <row r="559" spans="1:73" ht="15">
      <c r="A559"/>
      <c r="J559"/>
      <c r="AA559"/>
      <c r="AB559"/>
      <c r="AC559"/>
      <c r="AD559"/>
      <c r="AE559"/>
      <c r="AF559"/>
      <c r="AG559"/>
      <c r="AH559"/>
      <c r="BQ559" s="2"/>
      <c r="BR559" s="3"/>
      <c r="BS559" s="3"/>
      <c r="BT559" s="3"/>
      <c r="BU559" s="3"/>
    </row>
    <row r="560" spans="1:73" ht="15">
      <c r="A560"/>
      <c r="J560"/>
      <c r="AA560"/>
      <c r="AB560"/>
      <c r="AC560"/>
      <c r="AD560"/>
      <c r="AE560"/>
      <c r="AF560"/>
      <c r="AG560"/>
      <c r="AH560"/>
      <c r="BQ560" s="2"/>
      <c r="BR560" s="3"/>
      <c r="BS560" s="3"/>
      <c r="BT560" s="3"/>
      <c r="BU560" s="3"/>
    </row>
    <row r="561" spans="1:73" ht="15">
      <c r="A561"/>
      <c r="J561"/>
      <c r="AA561"/>
      <c r="AB561"/>
      <c r="AC561"/>
      <c r="AD561"/>
      <c r="AE561"/>
      <c r="AF561"/>
      <c r="AG561"/>
      <c r="AH561"/>
      <c r="BQ561" s="2"/>
      <c r="BR561" s="3"/>
      <c r="BS561" s="3"/>
      <c r="BT561" s="3"/>
      <c r="BU561" s="3"/>
    </row>
    <row r="562" spans="1:73" ht="15">
      <c r="A562"/>
      <c r="J562"/>
      <c r="AA562"/>
      <c r="AB562"/>
      <c r="AC562"/>
      <c r="AD562"/>
      <c r="AE562"/>
      <c r="AF562"/>
      <c r="AG562"/>
      <c r="AH562"/>
      <c r="BQ562" s="2"/>
      <c r="BR562" s="3"/>
      <c r="BS562" s="3"/>
      <c r="BT562" s="3"/>
      <c r="BU562" s="3"/>
    </row>
    <row r="563" spans="1:73" ht="15">
      <c r="A563"/>
      <c r="J563"/>
      <c r="AA563"/>
      <c r="AB563"/>
      <c r="AC563"/>
      <c r="AD563"/>
      <c r="AE563"/>
      <c r="AF563"/>
      <c r="AG563"/>
      <c r="AH563"/>
      <c r="BQ563" s="2"/>
      <c r="BR563" s="3"/>
      <c r="BS563" s="3"/>
      <c r="BT563" s="3"/>
      <c r="BU563" s="3"/>
    </row>
    <row r="564" spans="1:73" ht="15">
      <c r="A564"/>
      <c r="J564"/>
      <c r="AA564"/>
      <c r="AB564"/>
      <c r="AC564"/>
      <c r="AD564"/>
      <c r="AE564"/>
      <c r="AF564"/>
      <c r="AG564"/>
      <c r="AH564"/>
      <c r="BQ564" s="2"/>
      <c r="BR564" s="3"/>
      <c r="BS564" s="3"/>
      <c r="BT564" s="3"/>
      <c r="BU564" s="3"/>
    </row>
    <row r="565" spans="1:73" ht="15">
      <c r="A565"/>
      <c r="J565"/>
      <c r="AA565"/>
      <c r="AB565"/>
      <c r="AC565"/>
      <c r="AD565"/>
      <c r="AE565"/>
      <c r="AF565"/>
      <c r="AG565"/>
      <c r="AH565"/>
      <c r="BQ565" s="2"/>
      <c r="BR565" s="3"/>
      <c r="BS565" s="3"/>
      <c r="BT565" s="3"/>
      <c r="BU565" s="3"/>
    </row>
    <row r="566" spans="1:73" ht="15">
      <c r="A566"/>
      <c r="J566"/>
      <c r="AA566"/>
      <c r="AB566"/>
      <c r="AC566"/>
      <c r="AD566"/>
      <c r="AE566"/>
      <c r="AF566"/>
      <c r="AG566"/>
      <c r="AH566"/>
      <c r="BQ566" s="2"/>
      <c r="BR566" s="3"/>
      <c r="BS566" s="3"/>
      <c r="BT566" s="3"/>
      <c r="BU566" s="3"/>
    </row>
    <row r="567" spans="1:73" ht="15">
      <c r="A567"/>
      <c r="J567"/>
      <c r="AA567"/>
      <c r="AB567"/>
      <c r="AC567"/>
      <c r="AD567"/>
      <c r="AE567"/>
      <c r="AF567"/>
      <c r="AG567"/>
      <c r="AH567"/>
      <c r="BQ567" s="2"/>
      <c r="BR567" s="3"/>
      <c r="BS567" s="3"/>
      <c r="BT567" s="3"/>
      <c r="BU567" s="3"/>
    </row>
    <row r="568" spans="1:73" ht="15">
      <c r="A568"/>
      <c r="J568"/>
      <c r="AA568"/>
      <c r="AB568"/>
      <c r="AC568"/>
      <c r="AD568"/>
      <c r="AE568"/>
      <c r="AF568"/>
      <c r="AG568"/>
      <c r="AH568"/>
      <c r="BQ568" s="2"/>
      <c r="BR568" s="3"/>
      <c r="BS568" s="3"/>
      <c r="BT568" s="3"/>
      <c r="BU568" s="3"/>
    </row>
    <row r="569" spans="1:73" ht="15">
      <c r="A569"/>
      <c r="J569"/>
      <c r="AA569"/>
      <c r="AB569"/>
      <c r="AC569"/>
      <c r="AD569"/>
      <c r="AE569"/>
      <c r="AF569"/>
      <c r="AG569"/>
      <c r="AH569"/>
      <c r="BQ569" s="2"/>
      <c r="BR569" s="3"/>
      <c r="BS569" s="3"/>
      <c r="BT569" s="3"/>
      <c r="BU569" s="3"/>
    </row>
    <row r="570" spans="1:73" ht="15">
      <c r="A570"/>
      <c r="J570"/>
      <c r="AA570"/>
      <c r="AB570"/>
      <c r="AC570"/>
      <c r="AD570"/>
      <c r="AE570"/>
      <c r="AF570"/>
      <c r="AG570"/>
      <c r="AH570"/>
      <c r="BQ570" s="2"/>
      <c r="BR570" s="3"/>
      <c r="BS570" s="3"/>
      <c r="BT570" s="3"/>
      <c r="BU570" s="3"/>
    </row>
    <row r="571" spans="1:73" ht="15">
      <c r="A571"/>
      <c r="J571"/>
      <c r="AA571"/>
      <c r="AB571"/>
      <c r="AC571"/>
      <c r="AD571"/>
      <c r="AE571"/>
      <c r="AF571"/>
      <c r="AG571"/>
      <c r="AH571"/>
      <c r="BQ571" s="2"/>
      <c r="BR571" s="3"/>
      <c r="BS571" s="3"/>
      <c r="BT571" s="3"/>
      <c r="BU571" s="3"/>
    </row>
    <row r="572" spans="1:73" ht="15">
      <c r="A572"/>
      <c r="J572"/>
      <c r="AA572"/>
      <c r="AB572"/>
      <c r="AC572"/>
      <c r="AD572"/>
      <c r="AE572"/>
      <c r="AF572"/>
      <c r="AG572"/>
      <c r="AH572"/>
      <c r="BQ572" s="2"/>
      <c r="BR572" s="3"/>
      <c r="BS572" s="3"/>
      <c r="BT572" s="3"/>
      <c r="BU572" s="3"/>
    </row>
    <row r="573" spans="1:73" ht="15">
      <c r="A573"/>
      <c r="J573"/>
      <c r="AA573"/>
      <c r="AB573"/>
      <c r="AC573"/>
      <c r="AD573"/>
      <c r="AE573"/>
      <c r="AF573"/>
      <c r="AG573"/>
      <c r="AH573"/>
      <c r="BQ573" s="2"/>
      <c r="BR573" s="3"/>
      <c r="BS573" s="3"/>
      <c r="BT573" s="3"/>
      <c r="BU573" s="3"/>
    </row>
    <row r="574" spans="1:73" ht="15">
      <c r="A574"/>
      <c r="J574"/>
      <c r="AA574"/>
      <c r="AB574"/>
      <c r="AC574"/>
      <c r="AD574"/>
      <c r="AE574"/>
      <c r="AF574"/>
      <c r="AG574"/>
      <c r="AH574"/>
      <c r="BQ574" s="2"/>
      <c r="BR574" s="3"/>
      <c r="BS574" s="3"/>
      <c r="BT574" s="3"/>
      <c r="BU574" s="3"/>
    </row>
    <row r="575" spans="1:73" ht="15">
      <c r="A575"/>
      <c r="J575"/>
      <c r="AA575"/>
      <c r="AB575"/>
      <c r="AC575"/>
      <c r="AD575"/>
      <c r="AE575"/>
      <c r="AF575"/>
      <c r="AG575"/>
      <c r="AH575"/>
      <c r="BQ575" s="2"/>
      <c r="BR575" s="3"/>
      <c r="BS575" s="3"/>
      <c r="BT575" s="3"/>
      <c r="BU575" s="3"/>
    </row>
    <row r="576" spans="1:73" ht="15">
      <c r="A576"/>
      <c r="J576"/>
      <c r="AA576"/>
      <c r="AB576"/>
      <c r="AC576"/>
      <c r="AD576"/>
      <c r="AE576"/>
      <c r="AF576"/>
      <c r="AG576"/>
      <c r="AH576"/>
      <c r="BQ576" s="2"/>
      <c r="BR576" s="3"/>
      <c r="BS576" s="3"/>
      <c r="BT576" s="3"/>
      <c r="BU576" s="3"/>
    </row>
    <row r="577" spans="1:73" ht="15">
      <c r="A577"/>
      <c r="J577"/>
      <c r="AA577"/>
      <c r="AB577"/>
      <c r="AC577"/>
      <c r="AD577"/>
      <c r="AE577"/>
      <c r="AF577"/>
      <c r="AG577"/>
      <c r="AH577"/>
      <c r="BQ577" s="2"/>
      <c r="BR577" s="3"/>
      <c r="BS577" s="3"/>
      <c r="BT577" s="3"/>
      <c r="BU577" s="3"/>
    </row>
    <row r="578" spans="1:73" ht="15">
      <c r="A578"/>
      <c r="J578"/>
      <c r="AA578"/>
      <c r="AB578"/>
      <c r="AC578"/>
      <c r="AD578"/>
      <c r="AE578"/>
      <c r="AF578"/>
      <c r="AG578"/>
      <c r="AH578"/>
      <c r="BQ578" s="2"/>
      <c r="BR578" s="3"/>
      <c r="BS578" s="3"/>
      <c r="BT578" s="3"/>
      <c r="BU578" s="3"/>
    </row>
    <row r="579" spans="1:73" ht="15">
      <c r="A579"/>
      <c r="J579"/>
      <c r="AA579"/>
      <c r="AB579"/>
      <c r="AC579"/>
      <c r="AD579"/>
      <c r="AE579"/>
      <c r="AF579"/>
      <c r="AG579"/>
      <c r="AH579"/>
      <c r="BQ579" s="2"/>
      <c r="BR579" s="3"/>
      <c r="BS579" s="3"/>
      <c r="BT579" s="3"/>
      <c r="BU579" s="3"/>
    </row>
    <row r="580" spans="1:73" ht="15">
      <c r="A580"/>
      <c r="J580"/>
      <c r="AA580"/>
      <c r="AB580"/>
      <c r="AC580"/>
      <c r="AD580"/>
      <c r="AE580"/>
      <c r="AF580"/>
      <c r="AG580"/>
      <c r="AH580"/>
      <c r="BQ580" s="2"/>
      <c r="BR580" s="3"/>
      <c r="BS580" s="3"/>
      <c r="BT580" s="3"/>
      <c r="BU580" s="3"/>
    </row>
    <row r="581" spans="1:73" ht="15">
      <c r="A581"/>
      <c r="J581"/>
      <c r="AA581"/>
      <c r="AB581"/>
      <c r="AC581"/>
      <c r="AD581"/>
      <c r="AE581"/>
      <c r="AF581"/>
      <c r="AG581"/>
      <c r="AH581"/>
      <c r="BQ581" s="2"/>
      <c r="BR581" s="3"/>
      <c r="BS581" s="3"/>
      <c r="BT581" s="3"/>
      <c r="BU581" s="3"/>
    </row>
    <row r="582" spans="1:73" ht="15">
      <c r="A582"/>
      <c r="J582"/>
      <c r="AA582"/>
      <c r="AB582"/>
      <c r="AC582"/>
      <c r="AD582"/>
      <c r="AE582"/>
      <c r="AF582"/>
      <c r="AG582"/>
      <c r="AH582"/>
      <c r="BQ582" s="2"/>
      <c r="BR582" s="3"/>
      <c r="BS582" s="3"/>
      <c r="BT582" s="3"/>
      <c r="BU582" s="3"/>
    </row>
    <row r="583" spans="1:73" ht="15">
      <c r="A583"/>
      <c r="J583"/>
      <c r="AA583"/>
      <c r="AB583"/>
      <c r="AC583"/>
      <c r="AD583"/>
      <c r="AE583"/>
      <c r="AF583"/>
      <c r="AG583"/>
      <c r="AH583"/>
      <c r="BQ583" s="2"/>
      <c r="BR583" s="3"/>
      <c r="BS583" s="3"/>
      <c r="BT583" s="3"/>
      <c r="BU583" s="3"/>
    </row>
    <row r="584" spans="1:73" ht="15">
      <c r="A584"/>
      <c r="J584"/>
      <c r="AA584"/>
      <c r="AB584"/>
      <c r="AC584"/>
      <c r="AD584"/>
      <c r="AE584"/>
      <c r="AF584"/>
      <c r="AG584"/>
      <c r="AH584"/>
      <c r="BQ584" s="2"/>
      <c r="BR584" s="3"/>
      <c r="BS584" s="3"/>
      <c r="BT584" s="3"/>
      <c r="BU584" s="3"/>
    </row>
    <row r="585" spans="1:73" ht="15">
      <c r="A585"/>
      <c r="J585"/>
      <c r="AA585"/>
      <c r="AB585"/>
      <c r="AC585"/>
      <c r="AD585"/>
      <c r="AE585"/>
      <c r="AF585"/>
      <c r="AG585"/>
      <c r="AH585"/>
      <c r="BQ585" s="2"/>
      <c r="BR585" s="3"/>
      <c r="BS585" s="3"/>
      <c r="BT585" s="3"/>
      <c r="BU585" s="3"/>
    </row>
    <row r="586" spans="1:73" ht="15">
      <c r="A586"/>
      <c r="J586"/>
      <c r="AA586"/>
      <c r="AB586"/>
      <c r="AC586"/>
      <c r="AD586"/>
      <c r="AE586"/>
      <c r="AF586"/>
      <c r="AG586"/>
      <c r="AH586"/>
      <c r="BQ586" s="2"/>
      <c r="BR586" s="3"/>
      <c r="BS586" s="3"/>
      <c r="BT586" s="3"/>
      <c r="BU586" s="3"/>
    </row>
    <row r="587" spans="1:73" ht="15">
      <c r="A587"/>
      <c r="J587"/>
      <c r="AA587"/>
      <c r="AB587"/>
      <c r="AC587"/>
      <c r="AD587"/>
      <c r="AE587"/>
      <c r="AF587"/>
      <c r="AG587"/>
      <c r="AH587"/>
      <c r="BQ587" s="2"/>
      <c r="BR587" s="3"/>
      <c r="BS587" s="3"/>
      <c r="BT587" s="3"/>
      <c r="BU587" s="3"/>
    </row>
    <row r="588" spans="1:73" ht="15">
      <c r="A588"/>
      <c r="J588"/>
      <c r="AA588"/>
      <c r="AB588"/>
      <c r="AC588"/>
      <c r="AD588"/>
      <c r="AE588"/>
      <c r="AF588"/>
      <c r="AG588"/>
      <c r="AH588"/>
      <c r="BQ588" s="2"/>
      <c r="BR588" s="3"/>
      <c r="BS588" s="3"/>
      <c r="BT588" s="3"/>
      <c r="BU588" s="3"/>
    </row>
    <row r="589" spans="1:73" ht="15">
      <c r="A589"/>
      <c r="J589"/>
      <c r="AA589"/>
      <c r="AB589"/>
      <c r="AC589"/>
      <c r="AD589"/>
      <c r="AE589"/>
      <c r="AF589"/>
      <c r="AG589"/>
      <c r="AH589"/>
      <c r="BQ589" s="2"/>
      <c r="BR589" s="3"/>
      <c r="BS589" s="3"/>
      <c r="BT589" s="3"/>
      <c r="BU589" s="3"/>
    </row>
    <row r="590" spans="1:73" ht="15">
      <c r="A590"/>
      <c r="J590"/>
      <c r="AA590"/>
      <c r="AB590"/>
      <c r="AC590"/>
      <c r="AD590"/>
      <c r="AE590"/>
      <c r="AF590"/>
      <c r="AG590"/>
      <c r="AH590"/>
      <c r="BQ590" s="2"/>
      <c r="BR590" s="3"/>
      <c r="BS590" s="3"/>
      <c r="BT590" s="3"/>
      <c r="BU590" s="3"/>
    </row>
    <row r="591" spans="1:73" ht="15">
      <c r="A591"/>
      <c r="J591"/>
      <c r="AA591"/>
      <c r="AB591"/>
      <c r="AC591"/>
      <c r="AD591"/>
      <c r="AE591"/>
      <c r="AF591"/>
      <c r="AG591"/>
      <c r="AH591"/>
      <c r="BQ591" s="2"/>
      <c r="BR591" s="3"/>
      <c r="BS591" s="3"/>
      <c r="BT591" s="3"/>
      <c r="BU591" s="3"/>
    </row>
    <row r="592" spans="1:73" ht="15">
      <c r="A592"/>
      <c r="J592"/>
      <c r="AA592"/>
      <c r="AB592"/>
      <c r="AC592"/>
      <c r="AD592"/>
      <c r="AE592"/>
      <c r="AF592"/>
      <c r="AG592"/>
      <c r="AH592"/>
      <c r="BQ592" s="2"/>
      <c r="BR592" s="3"/>
      <c r="BS592" s="3"/>
      <c r="BT592" s="3"/>
      <c r="BU592" s="3"/>
    </row>
    <row r="593" spans="1:73" ht="15">
      <c r="A593"/>
      <c r="J593"/>
      <c r="AA593"/>
      <c r="AB593"/>
      <c r="AC593"/>
      <c r="AD593"/>
      <c r="AE593"/>
      <c r="AF593"/>
      <c r="AG593"/>
      <c r="AH593"/>
      <c r="BQ593" s="2"/>
      <c r="BR593" s="3"/>
      <c r="BS593" s="3"/>
      <c r="BT593" s="3"/>
      <c r="BU593" s="3"/>
    </row>
    <row r="594" spans="1:73" ht="15">
      <c r="A594"/>
      <c r="J594"/>
      <c r="AA594"/>
      <c r="AB594"/>
      <c r="AC594"/>
      <c r="AD594"/>
      <c r="AE594"/>
      <c r="AF594"/>
      <c r="AG594"/>
      <c r="AH594"/>
      <c r="BQ594" s="2"/>
      <c r="BR594" s="3"/>
      <c r="BS594" s="3"/>
      <c r="BT594" s="3"/>
      <c r="BU594" s="3"/>
    </row>
    <row r="595" spans="1:73" ht="15">
      <c r="A595"/>
      <c r="J595"/>
      <c r="AA595"/>
      <c r="AB595"/>
      <c r="AC595"/>
      <c r="AD595"/>
      <c r="AE595"/>
      <c r="AF595"/>
      <c r="AG595"/>
      <c r="AH595"/>
      <c r="BQ595" s="2"/>
      <c r="BR595" s="3"/>
      <c r="BS595" s="3"/>
      <c r="BT595" s="3"/>
      <c r="BU595" s="3"/>
    </row>
    <row r="596" spans="1:73" ht="15">
      <c r="A596"/>
      <c r="J596"/>
      <c r="AA596"/>
      <c r="AB596"/>
      <c r="AC596"/>
      <c r="AD596"/>
      <c r="AE596"/>
      <c r="AF596"/>
      <c r="AG596"/>
      <c r="AH596"/>
      <c r="BQ596" s="2"/>
      <c r="BR596" s="3"/>
      <c r="BS596" s="3"/>
      <c r="BT596" s="3"/>
      <c r="BU596" s="3"/>
    </row>
    <row r="597" spans="1:73" ht="15">
      <c r="A597"/>
      <c r="J597"/>
      <c r="AA597"/>
      <c r="AB597"/>
      <c r="AC597"/>
      <c r="AD597"/>
      <c r="AE597"/>
      <c r="AF597"/>
      <c r="AG597"/>
      <c r="AH597"/>
      <c r="BQ597" s="2"/>
      <c r="BR597" s="3"/>
      <c r="BS597" s="3"/>
      <c r="BT597" s="3"/>
      <c r="BU597" s="3"/>
    </row>
    <row r="598" spans="1:73" ht="15">
      <c r="A598"/>
      <c r="J598"/>
      <c r="AA598"/>
      <c r="AB598"/>
      <c r="AC598"/>
      <c r="AD598"/>
      <c r="AE598"/>
      <c r="AF598"/>
      <c r="AG598"/>
      <c r="AH598"/>
      <c r="BQ598" s="2"/>
      <c r="BR598" s="3"/>
      <c r="BS598" s="3"/>
      <c r="BT598" s="3"/>
      <c r="BU598" s="3"/>
    </row>
    <row r="599" spans="1:73" ht="15">
      <c r="A599"/>
      <c r="J599"/>
      <c r="AA599"/>
      <c r="AB599"/>
      <c r="AC599"/>
      <c r="AD599"/>
      <c r="AE599"/>
      <c r="AF599"/>
      <c r="AG599"/>
      <c r="AH599"/>
      <c r="BQ599" s="2"/>
      <c r="BR599" s="3"/>
      <c r="BS599" s="3"/>
      <c r="BT599" s="3"/>
      <c r="BU599" s="3"/>
    </row>
    <row r="600" spans="1:73" ht="15">
      <c r="A600"/>
      <c r="J600"/>
      <c r="AA600"/>
      <c r="AB600"/>
      <c r="AC600"/>
      <c r="AD600"/>
      <c r="AE600"/>
      <c r="AF600"/>
      <c r="AG600"/>
      <c r="AH600"/>
      <c r="BQ600" s="2"/>
      <c r="BR600" s="3"/>
      <c r="BS600" s="3"/>
      <c r="BT600" s="3"/>
      <c r="BU600" s="3"/>
    </row>
    <row r="601" spans="1:73" ht="15">
      <c r="A601"/>
      <c r="J601"/>
      <c r="AA601"/>
      <c r="AB601"/>
      <c r="AC601"/>
      <c r="AD601"/>
      <c r="AE601"/>
      <c r="AF601"/>
      <c r="AG601"/>
      <c r="AH601"/>
      <c r="BQ601" s="2"/>
      <c r="BR601" s="3"/>
      <c r="BS601" s="3"/>
      <c r="BT601" s="3"/>
      <c r="BU601" s="3"/>
    </row>
    <row r="602" spans="1:73" ht="15">
      <c r="A602"/>
      <c r="J602"/>
      <c r="AA602"/>
      <c r="AB602"/>
      <c r="AC602"/>
      <c r="AD602"/>
      <c r="AE602"/>
      <c r="AF602"/>
      <c r="AG602"/>
      <c r="AH602"/>
      <c r="BQ602" s="2"/>
      <c r="BR602" s="3"/>
      <c r="BS602" s="3"/>
      <c r="BT602" s="3"/>
      <c r="BU602" s="3"/>
    </row>
    <row r="603" spans="1:73" ht="15">
      <c r="A603"/>
      <c r="J603"/>
      <c r="AA603"/>
      <c r="AB603"/>
      <c r="AC603"/>
      <c r="AD603"/>
      <c r="AE603"/>
      <c r="AF603"/>
      <c r="AG603"/>
      <c r="AH603"/>
      <c r="BQ603" s="2"/>
      <c r="BR603" s="3"/>
      <c r="BS603" s="3"/>
      <c r="BT603" s="3"/>
      <c r="BU603" s="3"/>
    </row>
    <row r="604" spans="1:73" ht="15">
      <c r="A604"/>
      <c r="J604"/>
      <c r="AA604"/>
      <c r="AB604"/>
      <c r="AC604"/>
      <c r="AD604"/>
      <c r="AE604"/>
      <c r="AF604"/>
      <c r="AG604"/>
      <c r="AH604"/>
      <c r="BQ604" s="2"/>
      <c r="BR604" s="3"/>
      <c r="BS604" s="3"/>
      <c r="BT604" s="3"/>
      <c r="BU604" s="3"/>
    </row>
    <row r="605" spans="1:73" ht="15">
      <c r="A605"/>
      <c r="J605"/>
      <c r="AA605"/>
      <c r="AB605"/>
      <c r="AC605"/>
      <c r="AD605"/>
      <c r="AE605"/>
      <c r="AF605"/>
      <c r="AG605"/>
      <c r="AH605"/>
      <c r="BQ605" s="2"/>
      <c r="BR605" s="3"/>
      <c r="BS605" s="3"/>
      <c r="BT605" s="3"/>
      <c r="BU605" s="3"/>
    </row>
    <row r="606" spans="1:73" ht="15">
      <c r="A606"/>
      <c r="J606"/>
      <c r="AA606"/>
      <c r="AB606"/>
      <c r="AC606"/>
      <c r="AD606"/>
      <c r="AE606"/>
      <c r="AF606"/>
      <c r="AG606"/>
      <c r="AH606"/>
      <c r="BQ606" s="2"/>
      <c r="BR606" s="3"/>
      <c r="BS606" s="3"/>
      <c r="BT606" s="3"/>
      <c r="BU606" s="3"/>
    </row>
    <row r="607" spans="1:73" ht="15">
      <c r="A607"/>
      <c r="J607"/>
      <c r="AA607"/>
      <c r="AB607"/>
      <c r="AC607"/>
      <c r="AD607"/>
      <c r="AE607"/>
      <c r="AF607"/>
      <c r="AG607"/>
      <c r="AH607"/>
      <c r="BQ607" s="2"/>
      <c r="BR607" s="3"/>
      <c r="BS607" s="3"/>
      <c r="BT607" s="3"/>
      <c r="BU607" s="3"/>
    </row>
    <row r="608" spans="1:73" ht="15">
      <c r="A608"/>
      <c r="J608"/>
      <c r="AA608"/>
      <c r="AB608"/>
      <c r="AC608"/>
      <c r="AD608"/>
      <c r="AE608"/>
      <c r="AF608"/>
      <c r="AG608"/>
      <c r="AH608"/>
      <c r="BQ608" s="2"/>
      <c r="BR608" s="3"/>
      <c r="BS608" s="3"/>
      <c r="BT608" s="3"/>
      <c r="BU608" s="3"/>
    </row>
    <row r="609" spans="1:73" ht="15">
      <c r="A609"/>
      <c r="J609"/>
      <c r="AA609"/>
      <c r="AB609"/>
      <c r="AC609"/>
      <c r="AD609"/>
      <c r="AE609"/>
      <c r="AF609"/>
      <c r="AG609"/>
      <c r="AH609"/>
      <c r="BQ609" s="2"/>
      <c r="BR609" s="3"/>
      <c r="BS609" s="3"/>
      <c r="BT609" s="3"/>
      <c r="BU609" s="3"/>
    </row>
    <row r="610" spans="1:73" ht="15">
      <c r="A610"/>
      <c r="J610"/>
      <c r="AA610"/>
      <c r="AB610"/>
      <c r="AC610"/>
      <c r="AD610"/>
      <c r="AE610"/>
      <c r="AF610"/>
      <c r="AG610"/>
      <c r="AH610"/>
      <c r="BQ610" s="2"/>
      <c r="BR610" s="3"/>
      <c r="BS610" s="3"/>
      <c r="BT610" s="3"/>
      <c r="BU610" s="3"/>
    </row>
    <row r="611" spans="1:73" ht="15">
      <c r="A611"/>
      <c r="J611"/>
      <c r="AA611"/>
      <c r="AB611"/>
      <c r="AC611"/>
      <c r="AD611"/>
      <c r="AE611"/>
      <c r="AF611"/>
      <c r="AG611"/>
      <c r="AH611"/>
      <c r="BQ611" s="2"/>
      <c r="BR611" s="3"/>
      <c r="BS611" s="3"/>
      <c r="BT611" s="3"/>
      <c r="BU611" s="3"/>
    </row>
    <row r="612" spans="1:73" ht="15">
      <c r="A612"/>
      <c r="J612"/>
      <c r="AA612"/>
      <c r="AB612"/>
      <c r="AC612"/>
      <c r="AD612"/>
      <c r="AE612"/>
      <c r="AF612"/>
      <c r="AG612"/>
      <c r="AH612"/>
      <c r="BQ612" s="2"/>
      <c r="BR612" s="3"/>
      <c r="BS612" s="3"/>
      <c r="BT612" s="3"/>
      <c r="BU612" s="3"/>
    </row>
    <row r="613" spans="1:73" ht="15">
      <c r="A613"/>
      <c r="J613"/>
      <c r="AA613"/>
      <c r="AB613"/>
      <c r="AC613"/>
      <c r="AD613"/>
      <c r="AE613"/>
      <c r="AF613"/>
      <c r="AG613"/>
      <c r="AH613"/>
      <c r="BQ613" s="2"/>
      <c r="BR613" s="3"/>
      <c r="BS613" s="3"/>
      <c r="BT613" s="3"/>
      <c r="BU613" s="3"/>
    </row>
    <row r="614" spans="1:73" ht="15">
      <c r="A614"/>
      <c r="J614"/>
      <c r="AA614"/>
      <c r="AB614"/>
      <c r="AC614"/>
      <c r="AD614"/>
      <c r="AE614"/>
      <c r="AF614"/>
      <c r="AG614"/>
      <c r="AH614"/>
      <c r="BQ614" s="2"/>
      <c r="BR614" s="3"/>
      <c r="BS614" s="3"/>
      <c r="BT614" s="3"/>
      <c r="BU614" s="3"/>
    </row>
    <row r="615" spans="1:73" ht="15">
      <c r="A615"/>
      <c r="J615"/>
      <c r="AA615"/>
      <c r="AB615"/>
      <c r="AC615"/>
      <c r="AD615"/>
      <c r="AE615"/>
      <c r="AF615"/>
      <c r="AG615"/>
      <c r="AH615"/>
      <c r="BQ615" s="2"/>
      <c r="BR615" s="3"/>
      <c r="BS615" s="3"/>
      <c r="BT615" s="3"/>
      <c r="BU615" s="3"/>
    </row>
    <row r="616" spans="1:73" ht="15">
      <c r="A616"/>
      <c r="J616"/>
      <c r="AA616"/>
      <c r="AB616"/>
      <c r="AC616"/>
      <c r="AD616"/>
      <c r="AE616"/>
      <c r="AF616"/>
      <c r="AG616"/>
      <c r="AH616"/>
      <c r="BQ616" s="2"/>
      <c r="BR616" s="3"/>
      <c r="BS616" s="3"/>
      <c r="BT616" s="3"/>
      <c r="BU616" s="3"/>
    </row>
    <row r="617" spans="1:73" ht="15">
      <c r="A617"/>
      <c r="J617"/>
      <c r="AA617"/>
      <c r="AB617"/>
      <c r="AC617"/>
      <c r="AD617"/>
      <c r="AE617"/>
      <c r="AF617"/>
      <c r="AG617"/>
      <c r="AH617"/>
      <c r="BQ617" s="2"/>
      <c r="BR617" s="3"/>
      <c r="BS617" s="3"/>
      <c r="BT617" s="3"/>
      <c r="BU617" s="3"/>
    </row>
    <row r="618" spans="1:73" ht="15">
      <c r="A618"/>
      <c r="J618"/>
      <c r="AA618"/>
      <c r="AB618"/>
      <c r="AC618"/>
      <c r="AD618"/>
      <c r="AE618"/>
      <c r="AF618"/>
      <c r="AG618"/>
      <c r="AH618"/>
      <c r="BQ618" s="2"/>
      <c r="BR618" s="3"/>
      <c r="BS618" s="3"/>
      <c r="BT618" s="3"/>
      <c r="BU618" s="3"/>
    </row>
    <row r="619" spans="1:73" ht="15">
      <c r="A619"/>
      <c r="J619"/>
      <c r="AA619"/>
      <c r="AB619"/>
      <c r="AC619"/>
      <c r="AD619"/>
      <c r="AE619"/>
      <c r="AF619"/>
      <c r="AG619"/>
      <c r="AH619"/>
      <c r="BQ619" s="2"/>
      <c r="BR619" s="3"/>
      <c r="BS619" s="3"/>
      <c r="BT619" s="3"/>
      <c r="BU619" s="3"/>
    </row>
    <row r="620" spans="1:73" ht="15">
      <c r="A620"/>
      <c r="J620"/>
      <c r="AA620"/>
      <c r="AB620"/>
      <c r="AC620"/>
      <c r="AD620"/>
      <c r="AE620"/>
      <c r="AF620"/>
      <c r="AG620"/>
      <c r="AH620"/>
      <c r="BQ620" s="2"/>
      <c r="BR620" s="3"/>
      <c r="BS620" s="3"/>
      <c r="BT620" s="3"/>
      <c r="BU620" s="3"/>
    </row>
    <row r="621" spans="1:73" ht="15">
      <c r="A621"/>
      <c r="J621"/>
      <c r="AA621"/>
      <c r="AB621"/>
      <c r="AC621"/>
      <c r="AD621"/>
      <c r="AE621"/>
      <c r="AF621"/>
      <c r="AG621"/>
      <c r="AH621"/>
      <c r="BQ621" s="2"/>
      <c r="BR621" s="3"/>
      <c r="BS621" s="3"/>
      <c r="BT621" s="3"/>
      <c r="BU621" s="3"/>
    </row>
    <row r="622" spans="1:73" ht="15">
      <c r="A622"/>
      <c r="J622"/>
      <c r="AA622"/>
      <c r="AB622"/>
      <c r="AC622"/>
      <c r="AD622"/>
      <c r="AE622"/>
      <c r="AF622"/>
      <c r="AG622"/>
      <c r="AH622"/>
      <c r="BQ622" s="2"/>
      <c r="BR622" s="3"/>
      <c r="BS622" s="3"/>
      <c r="BT622" s="3"/>
      <c r="BU622" s="3"/>
    </row>
    <row r="623" spans="1:73" ht="15">
      <c r="A623"/>
      <c r="J623"/>
      <c r="AA623"/>
      <c r="AB623"/>
      <c r="AC623"/>
      <c r="AD623"/>
      <c r="AE623"/>
      <c r="AF623"/>
      <c r="AG623"/>
      <c r="AH623"/>
      <c r="BQ623" s="2"/>
      <c r="BR623" s="3"/>
      <c r="BS623" s="3"/>
      <c r="BT623" s="3"/>
      <c r="BU623" s="3"/>
    </row>
    <row r="624" spans="1:73" ht="15">
      <c r="A624"/>
      <c r="J624"/>
      <c r="AA624"/>
      <c r="AB624"/>
      <c r="AC624"/>
      <c r="AD624"/>
      <c r="AE624"/>
      <c r="AF624"/>
      <c r="AG624"/>
      <c r="AH624"/>
      <c r="BQ624" s="2"/>
      <c r="BR624" s="3"/>
      <c r="BS624" s="3"/>
      <c r="BT624" s="3"/>
      <c r="BU624" s="3"/>
    </row>
    <row r="625" spans="1:73" ht="15">
      <c r="A625"/>
      <c r="J625"/>
      <c r="AA625"/>
      <c r="AB625"/>
      <c r="AC625"/>
      <c r="AD625"/>
      <c r="AE625"/>
      <c r="AF625"/>
      <c r="AG625"/>
      <c r="AH625"/>
      <c r="BQ625" s="2"/>
      <c r="BR625" s="3"/>
      <c r="BS625" s="3"/>
      <c r="BT625" s="3"/>
      <c r="BU625" s="3"/>
    </row>
    <row r="626" spans="1:73" ht="15">
      <c r="A626"/>
      <c r="J626"/>
      <c r="AA626"/>
      <c r="AB626"/>
      <c r="AC626"/>
      <c r="AD626"/>
      <c r="AE626"/>
      <c r="AF626"/>
      <c r="AG626"/>
      <c r="AH626"/>
      <c r="BQ626" s="2"/>
      <c r="BR626" s="3"/>
      <c r="BS626" s="3"/>
      <c r="BT626" s="3"/>
      <c r="BU626" s="3"/>
    </row>
    <row r="627" spans="1:73" ht="15">
      <c r="A627"/>
      <c r="J627"/>
      <c r="AA627"/>
      <c r="AB627"/>
      <c r="AC627"/>
      <c r="AD627"/>
      <c r="AE627"/>
      <c r="AF627"/>
      <c r="AG627"/>
      <c r="AH627"/>
      <c r="BQ627" s="2"/>
      <c r="BR627" s="3"/>
      <c r="BS627" s="3"/>
      <c r="BT627" s="3"/>
      <c r="BU627" s="3"/>
    </row>
    <row r="628" spans="1:73" ht="15">
      <c r="A628"/>
      <c r="J628"/>
      <c r="AA628"/>
      <c r="AB628"/>
      <c r="AC628"/>
      <c r="AD628"/>
      <c r="AE628"/>
      <c r="AF628"/>
      <c r="AG628"/>
      <c r="AH628"/>
      <c r="BQ628" s="2"/>
      <c r="BR628" s="3"/>
      <c r="BS628" s="3"/>
      <c r="BT628" s="3"/>
      <c r="BU628" s="3"/>
    </row>
    <row r="629" spans="1:73" ht="15">
      <c r="A629"/>
      <c r="J629"/>
      <c r="AA629"/>
      <c r="AB629"/>
      <c r="AC629"/>
      <c r="AD629"/>
      <c r="AE629"/>
      <c r="AF629"/>
      <c r="AG629"/>
      <c r="AH629"/>
      <c r="BQ629" s="2"/>
      <c r="BR629" s="3"/>
      <c r="BS629" s="3"/>
      <c r="BT629" s="3"/>
      <c r="BU629" s="3"/>
    </row>
    <row r="630" spans="1:73" ht="15">
      <c r="A630"/>
      <c r="J630"/>
      <c r="AA630"/>
      <c r="AB630"/>
      <c r="AC630"/>
      <c r="AD630"/>
      <c r="AE630"/>
      <c r="AF630"/>
      <c r="AG630"/>
      <c r="AH630"/>
      <c r="BQ630" s="2"/>
      <c r="BR630" s="3"/>
      <c r="BS630" s="3"/>
      <c r="BT630" s="3"/>
      <c r="BU630" s="3"/>
    </row>
    <row r="631" spans="1:73" ht="15">
      <c r="A631"/>
      <c r="J631"/>
      <c r="AA631"/>
      <c r="AB631"/>
      <c r="AC631"/>
      <c r="AD631"/>
      <c r="AE631"/>
      <c r="AF631"/>
      <c r="AG631"/>
      <c r="AH631"/>
      <c r="BQ631" s="2"/>
      <c r="BR631" s="3"/>
      <c r="BS631" s="3"/>
      <c r="BT631" s="3"/>
      <c r="BU631" s="3"/>
    </row>
    <row r="632" spans="1:73" ht="15">
      <c r="A632"/>
      <c r="J632"/>
      <c r="AA632"/>
      <c r="AB632"/>
      <c r="AC632"/>
      <c r="AD632"/>
      <c r="AE632"/>
      <c r="AF632"/>
      <c r="AG632"/>
      <c r="AH632"/>
      <c r="BQ632" s="2"/>
      <c r="BR632" s="3"/>
      <c r="BS632" s="3"/>
      <c r="BT632" s="3"/>
      <c r="BU632" s="3"/>
    </row>
    <row r="633" spans="1:73" ht="15">
      <c r="A633"/>
      <c r="J633"/>
      <c r="AA633"/>
      <c r="AB633"/>
      <c r="AC633"/>
      <c r="AD633"/>
      <c r="AE633"/>
      <c r="AF633"/>
      <c r="AG633"/>
      <c r="AH633"/>
      <c r="BQ633" s="2"/>
      <c r="BR633" s="3"/>
      <c r="BS633" s="3"/>
      <c r="BT633" s="3"/>
      <c r="BU633" s="3"/>
    </row>
    <row r="634" spans="1:73" ht="15">
      <c r="A634"/>
      <c r="J634"/>
      <c r="AA634"/>
      <c r="AB634"/>
      <c r="AC634"/>
      <c r="AD634"/>
      <c r="AE634"/>
      <c r="AF634"/>
      <c r="AG634"/>
      <c r="AH634"/>
      <c r="BQ634" s="2"/>
      <c r="BR634" s="3"/>
      <c r="BS634" s="3"/>
      <c r="BT634" s="3"/>
      <c r="BU634" s="3"/>
    </row>
    <row r="635" spans="1:73" ht="15">
      <c r="A635"/>
      <c r="J635"/>
      <c r="AA635"/>
      <c r="AB635"/>
      <c r="AC635"/>
      <c r="AD635"/>
      <c r="AE635"/>
      <c r="AF635"/>
      <c r="AG635"/>
      <c r="AH635"/>
      <c r="BQ635" s="2"/>
      <c r="BR635" s="3"/>
      <c r="BS635" s="3"/>
      <c r="BT635" s="3"/>
      <c r="BU635" s="3"/>
    </row>
    <row r="636" spans="1:73" ht="15">
      <c r="A636"/>
      <c r="J636"/>
      <c r="AA636"/>
      <c r="AB636"/>
      <c r="AC636"/>
      <c r="AD636"/>
      <c r="AE636"/>
      <c r="AF636"/>
      <c r="AG636"/>
      <c r="AH636"/>
      <c r="BQ636" s="2"/>
      <c r="BR636" s="3"/>
      <c r="BS636" s="3"/>
      <c r="BT636" s="3"/>
      <c r="BU636" s="3"/>
    </row>
    <row r="637" spans="1:73" ht="15">
      <c r="A637"/>
      <c r="J637"/>
      <c r="AA637"/>
      <c r="AB637"/>
      <c r="AC637"/>
      <c r="AD637"/>
      <c r="AE637"/>
      <c r="AF637"/>
      <c r="AG637"/>
      <c r="AH637"/>
      <c r="BQ637" s="2"/>
      <c r="BR637" s="3"/>
      <c r="BS637" s="3"/>
      <c r="BT637" s="3"/>
      <c r="BU637" s="3"/>
    </row>
    <row r="638" spans="1:73" ht="15">
      <c r="A638"/>
      <c r="J638"/>
      <c r="AA638"/>
      <c r="AB638"/>
      <c r="AC638"/>
      <c r="AD638"/>
      <c r="AE638"/>
      <c r="AF638"/>
      <c r="AG638"/>
      <c r="AH638"/>
      <c r="BQ638" s="2"/>
      <c r="BR638" s="3"/>
      <c r="BS638" s="3"/>
      <c r="BT638" s="3"/>
      <c r="BU638" s="3"/>
    </row>
    <row r="639" spans="1:73" ht="15">
      <c r="A639"/>
      <c r="J639"/>
      <c r="AA639"/>
      <c r="AB639"/>
      <c r="AC639"/>
      <c r="AD639"/>
      <c r="AE639"/>
      <c r="AF639"/>
      <c r="AG639"/>
      <c r="AH639"/>
      <c r="BQ639" s="2"/>
      <c r="BR639" s="3"/>
      <c r="BS639" s="3"/>
      <c r="BT639" s="3"/>
      <c r="BU639" s="3"/>
    </row>
    <row r="640" spans="1:73" ht="15">
      <c r="A640"/>
      <c r="J640"/>
      <c r="AA640"/>
      <c r="AB640"/>
      <c r="AC640"/>
      <c r="AD640"/>
      <c r="AE640"/>
      <c r="AF640"/>
      <c r="AG640"/>
      <c r="AH640"/>
      <c r="BQ640" s="2"/>
      <c r="BR640" s="3"/>
      <c r="BS640" s="3"/>
      <c r="BT640" s="3"/>
      <c r="BU640" s="3"/>
    </row>
    <row r="641" spans="1:73" ht="15">
      <c r="A641"/>
      <c r="J641"/>
      <c r="AA641"/>
      <c r="AB641"/>
      <c r="AC641"/>
      <c r="AD641"/>
      <c r="AE641"/>
      <c r="AF641"/>
      <c r="AG641"/>
      <c r="AH641"/>
      <c r="BQ641" s="2"/>
      <c r="BR641" s="3"/>
      <c r="BS641" s="3"/>
      <c r="BT641" s="3"/>
      <c r="BU641" s="3"/>
    </row>
    <row r="642" spans="1:73" ht="15">
      <c r="A642"/>
      <c r="J642"/>
      <c r="AA642"/>
      <c r="AB642"/>
      <c r="AC642"/>
      <c r="AD642"/>
      <c r="AE642"/>
      <c r="AF642"/>
      <c r="AG642"/>
      <c r="AH642"/>
      <c r="BQ642" s="2"/>
      <c r="BR642" s="3"/>
      <c r="BS642" s="3"/>
      <c r="BT642" s="3"/>
      <c r="BU642" s="3"/>
    </row>
    <row r="643" spans="1:73" ht="15">
      <c r="A643"/>
      <c r="J643"/>
      <c r="AA643"/>
      <c r="AB643"/>
      <c r="AC643"/>
      <c r="AD643"/>
      <c r="AE643"/>
      <c r="AF643"/>
      <c r="AG643"/>
      <c r="AH643"/>
      <c r="BQ643" s="2"/>
      <c r="BR643" s="3"/>
      <c r="BS643" s="3"/>
      <c r="BT643" s="3"/>
      <c r="BU643" s="3"/>
    </row>
    <row r="644" spans="1:73" ht="15">
      <c r="A644"/>
      <c r="J644"/>
      <c r="AA644"/>
      <c r="AB644"/>
      <c r="AC644"/>
      <c r="AD644"/>
      <c r="AE644"/>
      <c r="AF644"/>
      <c r="AG644"/>
      <c r="AH644"/>
      <c r="BQ644" s="2"/>
      <c r="BR644" s="3"/>
      <c r="BS644" s="3"/>
      <c r="BT644" s="3"/>
      <c r="BU644" s="3"/>
    </row>
    <row r="645" spans="1:73" ht="15">
      <c r="A645"/>
      <c r="J645"/>
      <c r="AA645"/>
      <c r="AB645"/>
      <c r="AC645"/>
      <c r="AD645"/>
      <c r="AE645"/>
      <c r="AF645"/>
      <c r="AG645"/>
      <c r="AH645"/>
      <c r="BQ645" s="2"/>
      <c r="BR645" s="3"/>
      <c r="BS645" s="3"/>
      <c r="BT645" s="3"/>
      <c r="BU645" s="3"/>
    </row>
    <row r="646" spans="1:73" ht="15">
      <c r="A646"/>
      <c r="J646"/>
      <c r="AA646"/>
      <c r="AB646"/>
      <c r="AC646"/>
      <c r="AD646"/>
      <c r="AE646"/>
      <c r="AF646"/>
      <c r="AG646"/>
      <c r="AH646"/>
      <c r="BQ646" s="2"/>
      <c r="BR646" s="3"/>
      <c r="BS646" s="3"/>
      <c r="BT646" s="3"/>
      <c r="BU646" s="3"/>
    </row>
    <row r="647" spans="1:73" ht="15">
      <c r="A647"/>
      <c r="J647"/>
      <c r="AA647"/>
      <c r="AB647"/>
      <c r="AC647"/>
      <c r="AD647"/>
      <c r="AE647"/>
      <c r="AF647"/>
      <c r="AG647"/>
      <c r="AH647"/>
      <c r="BQ647" s="2"/>
      <c r="BR647" s="3"/>
      <c r="BS647" s="3"/>
      <c r="BT647" s="3"/>
      <c r="BU647" s="3"/>
    </row>
    <row r="648" spans="1:73" ht="15">
      <c r="A648"/>
      <c r="J648"/>
      <c r="AA648"/>
      <c r="AB648"/>
      <c r="AC648"/>
      <c r="AD648"/>
      <c r="AE648"/>
      <c r="AF648"/>
      <c r="AG648"/>
      <c r="AH648"/>
      <c r="BQ648" s="2"/>
      <c r="BR648" s="3"/>
      <c r="BS648" s="3"/>
      <c r="BT648" s="3"/>
      <c r="BU648" s="3"/>
    </row>
    <row r="649" spans="1:73" ht="15">
      <c r="A649"/>
      <c r="J649"/>
      <c r="AA649"/>
      <c r="AB649"/>
      <c r="AC649"/>
      <c r="AD649"/>
      <c r="AE649"/>
      <c r="AF649"/>
      <c r="AG649"/>
      <c r="AH649"/>
      <c r="BQ649" s="2"/>
      <c r="BR649" s="3"/>
      <c r="BS649" s="3"/>
      <c r="BT649" s="3"/>
      <c r="BU649" s="3"/>
    </row>
    <row r="650" spans="1:73" ht="15">
      <c r="A650"/>
      <c r="J650"/>
      <c r="AA650"/>
      <c r="AB650"/>
      <c r="AC650"/>
      <c r="AD650"/>
      <c r="AE650"/>
      <c r="AF650"/>
      <c r="AG650"/>
      <c r="AH650"/>
      <c r="BQ650" s="2"/>
      <c r="BR650" s="3"/>
      <c r="BS650" s="3"/>
      <c r="BT650" s="3"/>
      <c r="BU650" s="3"/>
    </row>
    <row r="651" spans="1:73" ht="15">
      <c r="A651"/>
      <c r="J651"/>
      <c r="AA651"/>
      <c r="AB651"/>
      <c r="AC651"/>
      <c r="AD651"/>
      <c r="AE651"/>
      <c r="AF651"/>
      <c r="AG651"/>
      <c r="AH651"/>
      <c r="BQ651" s="2"/>
      <c r="BR651" s="3"/>
      <c r="BS651" s="3"/>
      <c r="BT651" s="3"/>
      <c r="BU651" s="3"/>
    </row>
    <row r="652" spans="1:73" ht="15">
      <c r="A652"/>
      <c r="J652"/>
      <c r="AA652"/>
      <c r="AB652"/>
      <c r="AC652"/>
      <c r="AD652"/>
      <c r="AE652"/>
      <c r="AF652"/>
      <c r="AG652"/>
      <c r="AH652"/>
      <c r="BQ652" s="2"/>
      <c r="BR652" s="3"/>
      <c r="BS652" s="3"/>
      <c r="BT652" s="3"/>
      <c r="BU652" s="3"/>
    </row>
    <row r="653" spans="1:73" ht="15">
      <c r="A653"/>
      <c r="J653"/>
      <c r="AA653"/>
      <c r="AB653"/>
      <c r="AC653"/>
      <c r="AD653"/>
      <c r="AE653"/>
      <c r="AF653"/>
      <c r="AG653"/>
      <c r="AH653"/>
      <c r="BQ653" s="2"/>
      <c r="BR653" s="3"/>
      <c r="BS653" s="3"/>
      <c r="BT653" s="3"/>
      <c r="BU653" s="3"/>
    </row>
    <row r="654" spans="1:73" ht="15">
      <c r="A654"/>
      <c r="J654"/>
      <c r="AA654"/>
      <c r="AB654"/>
      <c r="AC654"/>
      <c r="AD654"/>
      <c r="AE654"/>
      <c r="AF654"/>
      <c r="AG654"/>
      <c r="AH654"/>
      <c r="BQ654" s="2"/>
      <c r="BR654" s="3"/>
      <c r="BS654" s="3"/>
      <c r="BT654" s="3"/>
      <c r="BU654" s="3"/>
    </row>
    <row r="655" spans="1:73" ht="15">
      <c r="A655"/>
      <c r="J655"/>
      <c r="AA655"/>
      <c r="AB655"/>
      <c r="AC655"/>
      <c r="AD655"/>
      <c r="AE655"/>
      <c r="AF655"/>
      <c r="AG655"/>
      <c r="AH655"/>
      <c r="BQ655" s="2"/>
      <c r="BR655" s="3"/>
      <c r="BS655" s="3"/>
      <c r="BT655" s="3"/>
      <c r="BU655" s="3"/>
    </row>
    <row r="656" spans="1:73" ht="15">
      <c r="A656"/>
      <c r="J656"/>
      <c r="AA656"/>
      <c r="AB656"/>
      <c r="AC656"/>
      <c r="AD656"/>
      <c r="AE656"/>
      <c r="AF656"/>
      <c r="AG656"/>
      <c r="AH656"/>
      <c r="BQ656" s="2"/>
      <c r="BR656" s="3"/>
      <c r="BS656" s="3"/>
      <c r="BT656" s="3"/>
      <c r="BU656" s="3"/>
    </row>
    <row r="657" spans="1:73" ht="15">
      <c r="A657"/>
      <c r="J657"/>
      <c r="AA657"/>
      <c r="AB657"/>
      <c r="AC657"/>
      <c r="AD657"/>
      <c r="AE657"/>
      <c r="AF657"/>
      <c r="AG657"/>
      <c r="AH657"/>
      <c r="BQ657" s="2"/>
      <c r="BR657" s="3"/>
      <c r="BS657" s="3"/>
      <c r="BT657" s="3"/>
      <c r="BU657" s="3"/>
    </row>
    <row r="658" spans="1:73" ht="15">
      <c r="A658"/>
      <c r="J658"/>
      <c r="AA658"/>
      <c r="AB658"/>
      <c r="AC658"/>
      <c r="AD658"/>
      <c r="AE658"/>
      <c r="AF658"/>
      <c r="AG658"/>
      <c r="AH658"/>
      <c r="BQ658" s="2"/>
      <c r="BR658" s="3"/>
      <c r="BS658" s="3"/>
      <c r="BT658" s="3"/>
      <c r="BU658" s="3"/>
    </row>
    <row r="659" spans="1:73" ht="15">
      <c r="A659"/>
      <c r="J659"/>
      <c r="AA659"/>
      <c r="AB659"/>
      <c r="AC659"/>
      <c r="AD659"/>
      <c r="AE659"/>
      <c r="AF659"/>
      <c r="AG659"/>
      <c r="AH659"/>
      <c r="BQ659" s="2"/>
      <c r="BR659" s="3"/>
      <c r="BS659" s="3"/>
      <c r="BT659" s="3"/>
      <c r="BU659" s="3"/>
    </row>
    <row r="660" spans="1:73" ht="15">
      <c r="A660"/>
      <c r="J660"/>
      <c r="AA660"/>
      <c r="AB660"/>
      <c r="AC660"/>
      <c r="AD660"/>
      <c r="AE660"/>
      <c r="AF660"/>
      <c r="AG660"/>
      <c r="AH660"/>
      <c r="BQ660" s="2"/>
      <c r="BR660" s="3"/>
      <c r="BS660" s="3"/>
      <c r="BT660" s="3"/>
      <c r="BU660" s="3"/>
    </row>
    <row r="661" spans="1:73" ht="15">
      <c r="A661"/>
      <c r="J661"/>
      <c r="AA661"/>
      <c r="AB661"/>
      <c r="AC661"/>
      <c r="AD661"/>
      <c r="AE661"/>
      <c r="AF661"/>
      <c r="AG661"/>
      <c r="AH661"/>
      <c r="BQ661" s="2"/>
      <c r="BR661" s="3"/>
      <c r="BS661" s="3"/>
      <c r="BT661" s="3"/>
      <c r="BU661" s="3"/>
    </row>
    <row r="662" spans="1:73" ht="15">
      <c r="A662"/>
      <c r="J662"/>
      <c r="AA662"/>
      <c r="AB662"/>
      <c r="AC662"/>
      <c r="AD662"/>
      <c r="AE662"/>
      <c r="AF662"/>
      <c r="AG662"/>
      <c r="AH662"/>
      <c r="BQ662" s="2"/>
      <c r="BR662" s="3"/>
      <c r="BS662" s="3"/>
      <c r="BT662" s="3"/>
      <c r="BU662" s="3"/>
    </row>
    <row r="663" spans="1:73" ht="15">
      <c r="A663"/>
      <c r="J663"/>
      <c r="AA663"/>
      <c r="AB663"/>
      <c r="AC663"/>
      <c r="AD663"/>
      <c r="AE663"/>
      <c r="AF663"/>
      <c r="AG663"/>
      <c r="AH663"/>
      <c r="BQ663" s="2"/>
      <c r="BR663" s="3"/>
      <c r="BS663" s="3"/>
      <c r="BT663" s="3"/>
      <c r="BU663" s="3"/>
    </row>
    <row r="664" spans="1:73" ht="15">
      <c r="A664"/>
      <c r="J664"/>
      <c r="AA664"/>
      <c r="AB664"/>
      <c r="AC664"/>
      <c r="AD664"/>
      <c r="AE664"/>
      <c r="AF664"/>
      <c r="AG664"/>
      <c r="AH664"/>
      <c r="BQ664" s="2"/>
      <c r="BR664" s="3"/>
      <c r="BS664" s="3"/>
      <c r="BT664" s="3"/>
      <c r="BU664" s="3"/>
    </row>
    <row r="665" spans="1:73" ht="15">
      <c r="A665"/>
      <c r="J665"/>
      <c r="AA665"/>
      <c r="AB665"/>
      <c r="AC665"/>
      <c r="AD665"/>
      <c r="AE665"/>
      <c r="AF665"/>
      <c r="AG665"/>
      <c r="AH665"/>
      <c r="BQ665" s="2"/>
      <c r="BR665" s="3"/>
      <c r="BS665" s="3"/>
      <c r="BT665" s="3"/>
      <c r="BU665" s="3"/>
    </row>
    <row r="666" spans="1:73" ht="15">
      <c r="A666"/>
      <c r="J666"/>
      <c r="AA666"/>
      <c r="AB666"/>
      <c r="AC666"/>
      <c r="AD666"/>
      <c r="AE666"/>
      <c r="AF666"/>
      <c r="AG666"/>
      <c r="AH666"/>
      <c r="BQ666" s="2"/>
      <c r="BR666" s="3"/>
      <c r="BS666" s="3"/>
      <c r="BT666" s="3"/>
      <c r="BU666" s="3"/>
    </row>
    <row r="667" spans="1:73" ht="15">
      <c r="A667"/>
      <c r="J667"/>
      <c r="AA667"/>
      <c r="AB667"/>
      <c r="AC667"/>
      <c r="AD667"/>
      <c r="AE667"/>
      <c r="AF667"/>
      <c r="AG667"/>
      <c r="AH667"/>
      <c r="BQ667" s="2"/>
      <c r="BR667" s="3"/>
      <c r="BS667" s="3"/>
      <c r="BT667" s="3"/>
      <c r="BU667" s="3"/>
    </row>
    <row r="668" spans="1:73" ht="15">
      <c r="A668"/>
      <c r="J668"/>
      <c r="AA668"/>
      <c r="AB668"/>
      <c r="AC668"/>
      <c r="AD668"/>
      <c r="AE668"/>
      <c r="AF668"/>
      <c r="AG668"/>
      <c r="AH668"/>
      <c r="BQ668" s="2"/>
      <c r="BR668" s="3"/>
      <c r="BS668" s="3"/>
      <c r="BT668" s="3"/>
      <c r="BU668" s="3"/>
    </row>
    <row r="669" spans="1:73" ht="15">
      <c r="A669"/>
      <c r="J669"/>
      <c r="AA669"/>
      <c r="AB669"/>
      <c r="AC669"/>
      <c r="AD669"/>
      <c r="AE669"/>
      <c r="AF669"/>
      <c r="AG669"/>
      <c r="AH669"/>
      <c r="BQ669" s="2"/>
      <c r="BR669" s="3"/>
      <c r="BS669" s="3"/>
      <c r="BT669" s="3"/>
      <c r="BU669" s="3"/>
    </row>
    <row r="670" spans="1:73" ht="15">
      <c r="A670"/>
      <c r="J670"/>
      <c r="AA670"/>
      <c r="AB670"/>
      <c r="AC670"/>
      <c r="AD670"/>
      <c r="AE670"/>
      <c r="AF670"/>
      <c r="AG670"/>
      <c r="AH670"/>
      <c r="BQ670" s="2"/>
      <c r="BR670" s="3"/>
      <c r="BS670" s="3"/>
      <c r="BT670" s="3"/>
      <c r="BU670" s="3"/>
    </row>
    <row r="671" spans="1:73" ht="15">
      <c r="A671"/>
      <c r="J671"/>
      <c r="AA671"/>
      <c r="AB671"/>
      <c r="AC671"/>
      <c r="AD671"/>
      <c r="AE671"/>
      <c r="AF671"/>
      <c r="AG671"/>
      <c r="AH671"/>
      <c r="BQ671" s="2"/>
      <c r="BR671" s="3"/>
      <c r="BS671" s="3"/>
      <c r="BT671" s="3"/>
      <c r="BU671" s="3"/>
    </row>
    <row r="672" spans="1:73" ht="15">
      <c r="A672"/>
      <c r="J672"/>
      <c r="AA672"/>
      <c r="AB672"/>
      <c r="AC672"/>
      <c r="AD672"/>
      <c r="AE672"/>
      <c r="AF672"/>
      <c r="AG672"/>
      <c r="AH672"/>
      <c r="BQ672" s="2"/>
      <c r="BR672" s="3"/>
      <c r="BS672" s="3"/>
      <c r="BT672" s="3"/>
      <c r="BU672" s="3"/>
    </row>
    <row r="673" spans="1:73" ht="15">
      <c r="A673"/>
      <c r="J673"/>
      <c r="AA673"/>
      <c r="AB673"/>
      <c r="AC673"/>
      <c r="AD673"/>
      <c r="AE673"/>
      <c r="AF673"/>
      <c r="AG673"/>
      <c r="AH673"/>
      <c r="BQ673" s="2"/>
      <c r="BR673" s="3"/>
      <c r="BS673" s="3"/>
      <c r="BT673" s="3"/>
      <c r="BU673" s="3"/>
    </row>
    <row r="674" spans="1:73" ht="15">
      <c r="A674"/>
      <c r="J674"/>
      <c r="AA674"/>
      <c r="AB674"/>
      <c r="AC674"/>
      <c r="AD674"/>
      <c r="AE674"/>
      <c r="AF674"/>
      <c r="AG674"/>
      <c r="AH674"/>
      <c r="BQ674" s="2"/>
      <c r="BR674" s="3"/>
      <c r="BS674" s="3"/>
      <c r="BT674" s="3"/>
      <c r="BU674" s="3"/>
    </row>
    <row r="675" spans="1:73" ht="15">
      <c r="A675"/>
      <c r="J675"/>
      <c r="AA675"/>
      <c r="AB675"/>
      <c r="AC675"/>
      <c r="AD675"/>
      <c r="AE675"/>
      <c r="AF675"/>
      <c r="AG675"/>
      <c r="AH675"/>
      <c r="BQ675" s="2"/>
      <c r="BR675" s="3"/>
      <c r="BS675" s="3"/>
      <c r="BT675" s="3"/>
      <c r="BU675" s="3"/>
    </row>
    <row r="676" spans="1:73" ht="15">
      <c r="A676"/>
      <c r="J676"/>
      <c r="AA676"/>
      <c r="AB676"/>
      <c r="AC676"/>
      <c r="AD676"/>
      <c r="AE676"/>
      <c r="AF676"/>
      <c r="AG676"/>
      <c r="AH676"/>
      <c r="BQ676" s="2"/>
      <c r="BR676" s="3"/>
      <c r="BS676" s="3"/>
      <c r="BT676" s="3"/>
      <c r="BU676" s="3"/>
    </row>
    <row r="677" spans="1:73" ht="15">
      <c r="A677"/>
      <c r="J677"/>
      <c r="AA677"/>
      <c r="AB677"/>
      <c r="AC677"/>
      <c r="AD677"/>
      <c r="AE677"/>
      <c r="AF677"/>
      <c r="AG677"/>
      <c r="AH677"/>
      <c r="BQ677" s="2"/>
      <c r="BR677" s="3"/>
      <c r="BS677" s="3"/>
      <c r="BT677" s="3"/>
      <c r="BU677" s="3"/>
    </row>
    <row r="678" spans="1:73" ht="15">
      <c r="A678"/>
      <c r="J678"/>
      <c r="AA678"/>
      <c r="AB678"/>
      <c r="AC678"/>
      <c r="AD678"/>
      <c r="AE678"/>
      <c r="AF678"/>
      <c r="AG678"/>
      <c r="AH678"/>
      <c r="BQ678" s="2"/>
      <c r="BR678" s="3"/>
      <c r="BS678" s="3"/>
      <c r="BT678" s="3"/>
      <c r="BU678" s="3"/>
    </row>
    <row r="679" spans="1:73" ht="15">
      <c r="A679"/>
      <c r="J679"/>
      <c r="AA679"/>
      <c r="AB679"/>
      <c r="AC679"/>
      <c r="AD679"/>
      <c r="AE679"/>
      <c r="AF679"/>
      <c r="AG679"/>
      <c r="AH679"/>
      <c r="BQ679" s="2"/>
      <c r="BR679" s="3"/>
      <c r="BS679" s="3"/>
      <c r="BT679" s="3"/>
      <c r="BU679" s="3"/>
    </row>
    <row r="680" spans="1:73" ht="15">
      <c r="A680"/>
      <c r="J680"/>
      <c r="AA680"/>
      <c r="AB680"/>
      <c r="AC680"/>
      <c r="AD680"/>
      <c r="AE680"/>
      <c r="AF680"/>
      <c r="AG680"/>
      <c r="AH680"/>
      <c r="BQ680" s="2"/>
      <c r="BR680" s="3"/>
      <c r="BS680" s="3"/>
      <c r="BT680" s="3"/>
      <c r="BU680" s="3"/>
    </row>
    <row r="681" spans="1:73" ht="15">
      <c r="A681"/>
      <c r="J681"/>
      <c r="AA681"/>
      <c r="AB681"/>
      <c r="AC681"/>
      <c r="AD681"/>
      <c r="AE681"/>
      <c r="AF681"/>
      <c r="AG681"/>
      <c r="AH681"/>
      <c r="BQ681" s="2"/>
      <c r="BR681" s="3"/>
      <c r="BS681" s="3"/>
      <c r="BT681" s="3"/>
      <c r="BU681" s="3"/>
    </row>
    <row r="682" spans="1:73" ht="15">
      <c r="A682"/>
      <c r="J682"/>
      <c r="AA682"/>
      <c r="AB682"/>
      <c r="AC682"/>
      <c r="AD682"/>
      <c r="AE682"/>
      <c r="AF682"/>
      <c r="AG682"/>
      <c r="AH682"/>
      <c r="BQ682" s="2"/>
      <c r="BR682" s="3"/>
      <c r="BS682" s="3"/>
      <c r="BT682" s="3"/>
      <c r="BU682" s="3"/>
    </row>
    <row r="683" spans="1:73" ht="15">
      <c r="A683"/>
      <c r="J683"/>
      <c r="AA683"/>
      <c r="AB683"/>
      <c r="AC683"/>
      <c r="AD683"/>
      <c r="AE683"/>
      <c r="AF683"/>
      <c r="AG683"/>
      <c r="AH683"/>
      <c r="BQ683" s="2"/>
      <c r="BR683" s="3"/>
      <c r="BS683" s="3"/>
      <c r="BT683" s="3"/>
      <c r="BU683" s="3"/>
    </row>
    <row r="684" spans="1:73" ht="15">
      <c r="A684"/>
      <c r="J684"/>
      <c r="AA684"/>
      <c r="AB684"/>
      <c r="AC684"/>
      <c r="AD684"/>
      <c r="AE684"/>
      <c r="AF684"/>
      <c r="AG684"/>
      <c r="AH684"/>
      <c r="BQ684" s="2"/>
      <c r="BR684" s="3"/>
      <c r="BS684" s="3"/>
      <c r="BT684" s="3"/>
      <c r="BU684" s="3"/>
    </row>
    <row r="685" spans="1:73" ht="15">
      <c r="A685"/>
      <c r="J685"/>
      <c r="AA685"/>
      <c r="AB685"/>
      <c r="AC685"/>
      <c r="AD685"/>
      <c r="AE685"/>
      <c r="AF685"/>
      <c r="AG685"/>
      <c r="AH685"/>
      <c r="BQ685" s="2"/>
      <c r="BR685" s="3"/>
      <c r="BS685" s="3"/>
      <c r="BT685" s="3"/>
      <c r="BU685" s="3"/>
    </row>
    <row r="686" spans="1:73" ht="15">
      <c r="A686"/>
      <c r="J686"/>
      <c r="AA686"/>
      <c r="AB686"/>
      <c r="AC686"/>
      <c r="AD686"/>
      <c r="AE686"/>
      <c r="AF686"/>
      <c r="AG686"/>
      <c r="AH686"/>
      <c r="BQ686" s="2"/>
      <c r="BR686" s="3"/>
      <c r="BS686" s="3"/>
      <c r="BT686" s="3"/>
      <c r="BU686" s="3"/>
    </row>
    <row r="687" spans="1:73" ht="15">
      <c r="A687"/>
      <c r="J687"/>
      <c r="AA687"/>
      <c r="AB687"/>
      <c r="AC687"/>
      <c r="AD687"/>
      <c r="AE687"/>
      <c r="AF687"/>
      <c r="AG687"/>
      <c r="AH687"/>
      <c r="BQ687" s="2"/>
      <c r="BR687" s="3"/>
      <c r="BS687" s="3"/>
      <c r="BT687" s="3"/>
      <c r="BU687" s="3"/>
    </row>
    <row r="688" spans="1:73" ht="15">
      <c r="A688"/>
      <c r="J688"/>
      <c r="AA688"/>
      <c r="AB688"/>
      <c r="AC688"/>
      <c r="AD688"/>
      <c r="AE688"/>
      <c r="AF688"/>
      <c r="AG688"/>
      <c r="AH688"/>
      <c r="BQ688" s="2"/>
      <c r="BR688" s="3"/>
      <c r="BS688" s="3"/>
      <c r="BT688" s="3"/>
      <c r="BU688" s="3"/>
    </row>
    <row r="689" spans="1:73" ht="15">
      <c r="A689"/>
      <c r="J689"/>
      <c r="AA689"/>
      <c r="AB689"/>
      <c r="AC689"/>
      <c r="AD689"/>
      <c r="AE689"/>
      <c r="AF689"/>
      <c r="AG689"/>
      <c r="AH689"/>
      <c r="BQ689" s="2"/>
      <c r="BR689" s="3"/>
      <c r="BS689" s="3"/>
      <c r="BT689" s="3"/>
      <c r="BU689" s="3"/>
    </row>
    <row r="690" spans="1:73" ht="15">
      <c r="A690"/>
      <c r="J690"/>
      <c r="AA690"/>
      <c r="AB690"/>
      <c r="AC690"/>
      <c r="AD690"/>
      <c r="AE690"/>
      <c r="AF690"/>
      <c r="AG690"/>
      <c r="AH690"/>
      <c r="BQ690" s="2"/>
      <c r="BR690" s="3"/>
      <c r="BS690" s="3"/>
      <c r="BT690" s="3"/>
      <c r="BU690" s="3"/>
    </row>
    <row r="691" spans="1:73" ht="15">
      <c r="A691"/>
      <c r="J691"/>
      <c r="AA691"/>
      <c r="AB691"/>
      <c r="AC691"/>
      <c r="AD691"/>
      <c r="AE691"/>
      <c r="AF691"/>
      <c r="AG691"/>
      <c r="AH691"/>
      <c r="BQ691" s="2"/>
      <c r="BR691" s="3"/>
      <c r="BS691" s="3"/>
      <c r="BT691" s="3"/>
      <c r="BU691" s="3"/>
    </row>
    <row r="692" spans="1:73" ht="15">
      <c r="A692"/>
      <c r="J692"/>
      <c r="AA692"/>
      <c r="AB692"/>
      <c r="AC692"/>
      <c r="AD692"/>
      <c r="AE692"/>
      <c r="AF692"/>
      <c r="AG692"/>
      <c r="AH692"/>
      <c r="BQ692" s="2"/>
      <c r="BR692" s="3"/>
      <c r="BS692" s="3"/>
      <c r="BT692" s="3"/>
      <c r="BU692" s="3"/>
    </row>
    <row r="693" spans="1:73" ht="15">
      <c r="A693"/>
      <c r="J693"/>
      <c r="AA693"/>
      <c r="AB693"/>
      <c r="AC693"/>
      <c r="AD693"/>
      <c r="AE693"/>
      <c r="AF693"/>
      <c r="AG693"/>
      <c r="AH693"/>
      <c r="BQ693" s="2"/>
      <c r="BR693" s="3"/>
      <c r="BS693" s="3"/>
      <c r="BT693" s="3"/>
      <c r="BU693" s="3"/>
    </row>
    <row r="694" spans="1:73" ht="15">
      <c r="A694"/>
      <c r="J694"/>
      <c r="AA694"/>
      <c r="AB694"/>
      <c r="AC694"/>
      <c r="AD694"/>
      <c r="AE694"/>
      <c r="AF694"/>
      <c r="AG694"/>
      <c r="AH694"/>
      <c r="BQ694" s="2"/>
      <c r="BR694" s="3"/>
      <c r="BS694" s="3"/>
      <c r="BT694" s="3"/>
      <c r="BU694" s="3"/>
    </row>
    <row r="695" spans="1:73" ht="15">
      <c r="A695"/>
      <c r="J695"/>
      <c r="AA695"/>
      <c r="AB695"/>
      <c r="AC695"/>
      <c r="AD695"/>
      <c r="AE695"/>
      <c r="AF695"/>
      <c r="AG695"/>
      <c r="AH695"/>
      <c r="BQ695" s="2"/>
      <c r="BR695" s="3"/>
      <c r="BS695" s="3"/>
      <c r="BT695" s="3"/>
      <c r="BU695" s="3"/>
    </row>
    <row r="696" spans="1:73" ht="15">
      <c r="A696"/>
      <c r="J696"/>
      <c r="AA696"/>
      <c r="AB696"/>
      <c r="AC696"/>
      <c r="AD696"/>
      <c r="AE696"/>
      <c r="AF696"/>
      <c r="AG696"/>
      <c r="AH696"/>
      <c r="BQ696" s="2"/>
      <c r="BR696" s="3"/>
      <c r="BS696" s="3"/>
      <c r="BT696" s="3"/>
      <c r="BU696" s="3"/>
    </row>
    <row r="697" spans="1:73" ht="15">
      <c r="A697"/>
      <c r="J697"/>
      <c r="AA697"/>
      <c r="AB697"/>
      <c r="AC697"/>
      <c r="AD697"/>
      <c r="AE697"/>
      <c r="AF697"/>
      <c r="AG697"/>
      <c r="AH697"/>
      <c r="BQ697" s="2"/>
      <c r="BR697" s="3"/>
      <c r="BS697" s="3"/>
      <c r="BT697" s="3"/>
      <c r="BU697" s="3"/>
    </row>
    <row r="698" spans="1:73" ht="15">
      <c r="A698"/>
      <c r="J698"/>
      <c r="AA698"/>
      <c r="AB698"/>
      <c r="AC698"/>
      <c r="AD698"/>
      <c r="AE698"/>
      <c r="AF698"/>
      <c r="AG698"/>
      <c r="AH698"/>
      <c r="BQ698" s="2"/>
      <c r="BR698" s="3"/>
      <c r="BS698" s="3"/>
      <c r="BT698" s="3"/>
      <c r="BU698" s="3"/>
    </row>
    <row r="699" spans="1:73" ht="15">
      <c r="A699"/>
      <c r="J699"/>
      <c r="AA699"/>
      <c r="AB699"/>
      <c r="AC699"/>
      <c r="AD699"/>
      <c r="AE699"/>
      <c r="AF699"/>
      <c r="AG699"/>
      <c r="AH699"/>
      <c r="BQ699" s="2"/>
      <c r="BR699" s="3"/>
      <c r="BS699" s="3"/>
      <c r="BT699" s="3"/>
      <c r="BU699" s="3"/>
    </row>
    <row r="700" spans="1:73" ht="15">
      <c r="A700"/>
      <c r="J700"/>
      <c r="AA700"/>
      <c r="AB700"/>
      <c r="AC700"/>
      <c r="AD700"/>
      <c r="AE700"/>
      <c r="AF700"/>
      <c r="AG700"/>
      <c r="AH700"/>
      <c r="BQ700" s="2"/>
      <c r="BR700" s="3"/>
      <c r="BS700" s="3"/>
      <c r="BT700" s="3"/>
      <c r="BU700" s="3"/>
    </row>
    <row r="701" spans="1:73" ht="15">
      <c r="A701"/>
      <c r="J701"/>
      <c r="AA701"/>
      <c r="AB701"/>
      <c r="AC701"/>
      <c r="AD701"/>
      <c r="AE701"/>
      <c r="AF701"/>
      <c r="AG701"/>
      <c r="AH701"/>
      <c r="BQ701" s="2"/>
      <c r="BR701" s="3"/>
      <c r="BS701" s="3"/>
      <c r="BT701" s="3"/>
      <c r="BU701" s="3"/>
    </row>
    <row r="702" spans="1:73" ht="15">
      <c r="A702"/>
      <c r="J702"/>
      <c r="AA702"/>
      <c r="AB702"/>
      <c r="AC702"/>
      <c r="AD702"/>
      <c r="AE702"/>
      <c r="AF702"/>
      <c r="AG702"/>
      <c r="AH702"/>
      <c r="BQ702" s="2"/>
      <c r="BR702" s="3"/>
      <c r="BS702" s="3"/>
      <c r="BT702" s="3"/>
      <c r="BU702" s="3"/>
    </row>
    <row r="703" spans="1:73" ht="15">
      <c r="A703"/>
      <c r="J703"/>
      <c r="AA703"/>
      <c r="AB703"/>
      <c r="AC703"/>
      <c r="AD703"/>
      <c r="AE703"/>
      <c r="AF703"/>
      <c r="AG703"/>
      <c r="AH703"/>
      <c r="BQ703" s="2"/>
      <c r="BR703" s="3"/>
      <c r="BS703" s="3"/>
      <c r="BT703" s="3"/>
      <c r="BU703" s="3"/>
    </row>
    <row r="704" spans="1:73" ht="15">
      <c r="A704"/>
      <c r="J704"/>
      <c r="AA704"/>
      <c r="AB704"/>
      <c r="AC704"/>
      <c r="AD704"/>
      <c r="AE704"/>
      <c r="AF704"/>
      <c r="AG704"/>
      <c r="AH704"/>
      <c r="BQ704" s="2"/>
      <c r="BR704" s="3"/>
      <c r="BS704" s="3"/>
      <c r="BT704" s="3"/>
      <c r="BU704" s="3"/>
    </row>
    <row r="705" spans="1:73" ht="15">
      <c r="A705"/>
      <c r="J705"/>
      <c r="AA705"/>
      <c r="AB705"/>
      <c r="AC705"/>
      <c r="AD705"/>
      <c r="AE705"/>
      <c r="AF705"/>
      <c r="AG705"/>
      <c r="AH705"/>
      <c r="BQ705" s="2"/>
      <c r="BR705" s="3"/>
      <c r="BS705" s="3"/>
      <c r="BT705" s="3"/>
      <c r="BU705" s="3"/>
    </row>
    <row r="706" spans="1:73" ht="15">
      <c r="A706"/>
      <c r="J706"/>
      <c r="AA706"/>
      <c r="AB706"/>
      <c r="AC706"/>
      <c r="AD706"/>
      <c r="AE706"/>
      <c r="AF706"/>
      <c r="AG706"/>
      <c r="AH706"/>
      <c r="BQ706" s="2"/>
      <c r="BR706" s="3"/>
      <c r="BS706" s="3"/>
      <c r="BT706" s="3"/>
      <c r="BU706" s="3"/>
    </row>
    <row r="707" spans="1:73" ht="15">
      <c r="A707"/>
      <c r="J707"/>
      <c r="AA707"/>
      <c r="AB707"/>
      <c r="AC707"/>
      <c r="AD707"/>
      <c r="AE707"/>
      <c r="AF707"/>
      <c r="AG707"/>
      <c r="AH707"/>
      <c r="BQ707" s="2"/>
      <c r="BR707" s="3"/>
      <c r="BS707" s="3"/>
      <c r="BT707" s="3"/>
      <c r="BU707" s="3"/>
    </row>
    <row r="708" spans="1:73" ht="15">
      <c r="A708"/>
      <c r="J708"/>
      <c r="AA708"/>
      <c r="AB708"/>
      <c r="AC708"/>
      <c r="AD708"/>
      <c r="AE708"/>
      <c r="AF708"/>
      <c r="AG708"/>
      <c r="AH708"/>
      <c r="BQ708" s="2"/>
      <c r="BR708" s="3"/>
      <c r="BS708" s="3"/>
      <c r="BT708" s="3"/>
      <c r="BU708" s="3"/>
    </row>
    <row r="709" spans="1:73" ht="15">
      <c r="A709"/>
      <c r="J709"/>
      <c r="AA709"/>
      <c r="AB709"/>
      <c r="AC709"/>
      <c r="AD709"/>
      <c r="AE709"/>
      <c r="AF709"/>
      <c r="AG709"/>
      <c r="AH709"/>
      <c r="BQ709" s="2"/>
      <c r="BR709" s="3"/>
      <c r="BS709" s="3"/>
      <c r="BT709" s="3"/>
      <c r="BU709" s="3"/>
    </row>
    <row r="710" spans="1:73" ht="15">
      <c r="A710"/>
      <c r="J710"/>
      <c r="AA710"/>
      <c r="AB710"/>
      <c r="AC710"/>
      <c r="AD710"/>
      <c r="AE710"/>
      <c r="AF710"/>
      <c r="AG710"/>
      <c r="AH710"/>
      <c r="BQ710" s="2"/>
      <c r="BR710" s="3"/>
      <c r="BS710" s="3"/>
      <c r="BT710" s="3"/>
      <c r="BU710" s="3"/>
    </row>
    <row r="711" spans="1:73" ht="15">
      <c r="A711"/>
      <c r="J711"/>
      <c r="AA711"/>
      <c r="AB711"/>
      <c r="AC711"/>
      <c r="AD711"/>
      <c r="AE711"/>
      <c r="AF711"/>
      <c r="AG711"/>
      <c r="AH711"/>
      <c r="BQ711" s="2"/>
      <c r="BR711" s="3"/>
      <c r="BS711" s="3"/>
      <c r="BT711" s="3"/>
      <c r="BU711" s="3"/>
    </row>
    <row r="712" spans="1:73" ht="15">
      <c r="A712"/>
      <c r="J712"/>
      <c r="AA712"/>
      <c r="AB712"/>
      <c r="AC712"/>
      <c r="AD712"/>
      <c r="AE712"/>
      <c r="AF712"/>
      <c r="AG712"/>
      <c r="AH712"/>
      <c r="BQ712" s="2"/>
      <c r="BR712" s="3"/>
      <c r="BS712" s="3"/>
      <c r="BT712" s="3"/>
      <c r="BU712" s="3"/>
    </row>
    <row r="713" spans="1:73" ht="15">
      <c r="A713"/>
      <c r="J713"/>
      <c r="AA713"/>
      <c r="AB713"/>
      <c r="AC713"/>
      <c r="AD713"/>
      <c r="AE713"/>
      <c r="AF713"/>
      <c r="AG713"/>
      <c r="AH713"/>
      <c r="BQ713" s="2"/>
      <c r="BR713" s="3"/>
      <c r="BS713" s="3"/>
      <c r="BT713" s="3"/>
      <c r="BU713" s="3"/>
    </row>
    <row r="714" spans="1:73" ht="15">
      <c r="A714"/>
      <c r="J714"/>
      <c r="AA714"/>
      <c r="AB714"/>
      <c r="AC714"/>
      <c r="AD714"/>
      <c r="AE714"/>
      <c r="AF714"/>
      <c r="AG714"/>
      <c r="AH714"/>
      <c r="BQ714" s="2"/>
      <c r="BR714" s="3"/>
      <c r="BS714" s="3"/>
      <c r="BT714" s="3"/>
      <c r="BU714" s="3"/>
    </row>
    <row r="715" spans="1:73" ht="15">
      <c r="A715"/>
      <c r="J715"/>
      <c r="AA715"/>
      <c r="AB715"/>
      <c r="AC715"/>
      <c r="AD715"/>
      <c r="AE715"/>
      <c r="AF715"/>
      <c r="AG715"/>
      <c r="AH715"/>
      <c r="BQ715" s="2"/>
      <c r="BR715" s="3"/>
      <c r="BS715" s="3"/>
      <c r="BT715" s="3"/>
      <c r="BU715" s="3"/>
    </row>
    <row r="716" spans="1:73" ht="15">
      <c r="A716"/>
      <c r="J716"/>
      <c r="AA716"/>
      <c r="AB716"/>
      <c r="AC716"/>
      <c r="AD716"/>
      <c r="AE716"/>
      <c r="AF716"/>
      <c r="AG716"/>
      <c r="AH716"/>
      <c r="BQ716" s="2"/>
      <c r="BR716" s="3"/>
      <c r="BS716" s="3"/>
      <c r="BT716" s="3"/>
      <c r="BU716" s="3"/>
    </row>
    <row r="717" spans="1:73" ht="15">
      <c r="A717"/>
      <c r="J717"/>
      <c r="AA717"/>
      <c r="AB717"/>
      <c r="AC717"/>
      <c r="AD717"/>
      <c r="AE717"/>
      <c r="AF717"/>
      <c r="AG717"/>
      <c r="AH717"/>
      <c r="BQ717" s="2"/>
      <c r="BR717" s="3"/>
      <c r="BS717" s="3"/>
      <c r="BT717" s="3"/>
      <c r="BU717" s="3"/>
    </row>
    <row r="718" spans="1:73" ht="15">
      <c r="A718"/>
      <c r="J718"/>
      <c r="AA718"/>
      <c r="AB718"/>
      <c r="AC718"/>
      <c r="AD718"/>
      <c r="AE718"/>
      <c r="AF718"/>
      <c r="AG718"/>
      <c r="AH718"/>
      <c r="BQ718" s="2"/>
      <c r="BR718" s="3"/>
      <c r="BS718" s="3"/>
      <c r="BT718" s="3"/>
      <c r="BU718" s="3"/>
    </row>
    <row r="719" spans="1:73" ht="15">
      <c r="A719"/>
      <c r="J719"/>
      <c r="AA719"/>
      <c r="AB719"/>
      <c r="AC719"/>
      <c r="AD719"/>
      <c r="AE719"/>
      <c r="AF719"/>
      <c r="AG719"/>
      <c r="AH719"/>
      <c r="BQ719" s="2"/>
      <c r="BR719" s="3"/>
      <c r="BS719" s="3"/>
      <c r="BT719" s="3"/>
      <c r="BU719" s="3"/>
    </row>
    <row r="720" spans="1:73" ht="15">
      <c r="A720"/>
      <c r="J720"/>
      <c r="AA720"/>
      <c r="AB720"/>
      <c r="AC720"/>
      <c r="AD720"/>
      <c r="AE720"/>
      <c r="AF720"/>
      <c r="AG720"/>
      <c r="AH720"/>
      <c r="BQ720" s="2"/>
      <c r="BR720" s="3"/>
      <c r="BS720" s="3"/>
      <c r="BT720" s="3"/>
      <c r="BU720" s="3"/>
    </row>
    <row r="721" spans="1:73" ht="15">
      <c r="A721"/>
      <c r="J721"/>
      <c r="AA721"/>
      <c r="AB721"/>
      <c r="AC721"/>
      <c r="AD721"/>
      <c r="AE721"/>
      <c r="AF721"/>
      <c r="AG721"/>
      <c r="AH721"/>
      <c r="BQ721" s="2"/>
      <c r="BR721" s="3"/>
      <c r="BS721" s="3"/>
      <c r="BT721" s="3"/>
      <c r="BU721" s="3"/>
    </row>
    <row r="722" spans="1:73" ht="15">
      <c r="A722"/>
      <c r="J722"/>
      <c r="AA722"/>
      <c r="AB722"/>
      <c r="AC722"/>
      <c r="AD722"/>
      <c r="AE722"/>
      <c r="AF722"/>
      <c r="AG722"/>
      <c r="AH722"/>
      <c r="BQ722" s="2"/>
      <c r="BR722" s="3"/>
      <c r="BS722" s="3"/>
      <c r="BT722" s="3"/>
      <c r="BU722" s="3"/>
    </row>
    <row r="723" spans="1:73" ht="15">
      <c r="A723"/>
      <c r="J723"/>
      <c r="AA723"/>
      <c r="AB723"/>
      <c r="AC723"/>
      <c r="AD723"/>
      <c r="AE723"/>
      <c r="AF723"/>
      <c r="AG723"/>
      <c r="AH723"/>
      <c r="BQ723" s="2"/>
      <c r="BR723" s="3"/>
      <c r="BS723" s="3"/>
      <c r="BT723" s="3"/>
      <c r="BU723" s="3"/>
    </row>
    <row r="724" spans="1:73" ht="15">
      <c r="A724"/>
      <c r="J724"/>
      <c r="AA724"/>
      <c r="AB724"/>
      <c r="AC724"/>
      <c r="AD724"/>
      <c r="AE724"/>
      <c r="AF724"/>
      <c r="AG724"/>
      <c r="AH724"/>
      <c r="BQ724" s="2"/>
      <c r="BR724" s="3"/>
      <c r="BS724" s="3"/>
      <c r="BT724" s="3"/>
      <c r="BU724" s="3"/>
    </row>
    <row r="725" spans="1:73" ht="15">
      <c r="A725"/>
      <c r="J725"/>
      <c r="AA725"/>
      <c r="AB725"/>
      <c r="AC725"/>
      <c r="AD725"/>
      <c r="AE725"/>
      <c r="AF725"/>
      <c r="AG725"/>
      <c r="AH725"/>
      <c r="BQ725" s="2"/>
      <c r="BR725" s="3"/>
      <c r="BS725" s="3"/>
      <c r="BT725" s="3"/>
      <c r="BU725" s="3"/>
    </row>
    <row r="726" spans="1:73" ht="15">
      <c r="A726"/>
      <c r="J726"/>
      <c r="AA726"/>
      <c r="AB726"/>
      <c r="AC726"/>
      <c r="AD726"/>
      <c r="AE726"/>
      <c r="AF726"/>
      <c r="AG726"/>
      <c r="AH726"/>
      <c r="BQ726" s="2"/>
      <c r="BR726" s="3"/>
      <c r="BS726" s="3"/>
      <c r="BT726" s="3"/>
      <c r="BU726" s="3"/>
    </row>
    <row r="727" spans="1:73" ht="15">
      <c r="A727"/>
      <c r="J727"/>
      <c r="AA727"/>
      <c r="AB727"/>
      <c r="AC727"/>
      <c r="AD727"/>
      <c r="AE727"/>
      <c r="AF727"/>
      <c r="AG727"/>
      <c r="AH727"/>
      <c r="BQ727" s="2"/>
      <c r="BR727" s="3"/>
      <c r="BS727" s="3"/>
      <c r="BT727" s="3"/>
      <c r="BU727" s="3"/>
    </row>
    <row r="728" spans="1:73" ht="15">
      <c r="A728"/>
      <c r="J728"/>
      <c r="AA728"/>
      <c r="AB728"/>
      <c r="AC728"/>
      <c r="AD728"/>
      <c r="AE728"/>
      <c r="AF728"/>
      <c r="AG728"/>
      <c r="AH728"/>
      <c r="BQ728" s="2"/>
      <c r="BR728" s="3"/>
      <c r="BS728" s="3"/>
      <c r="BT728" s="3"/>
      <c r="BU728" s="3"/>
    </row>
    <row r="729" spans="1:73" ht="15">
      <c r="A729"/>
      <c r="J729"/>
      <c r="AA729"/>
      <c r="AB729"/>
      <c r="AC729"/>
      <c r="AD729"/>
      <c r="AE729"/>
      <c r="AF729"/>
      <c r="AG729"/>
      <c r="AH729"/>
      <c r="BQ729" s="2"/>
      <c r="BR729" s="3"/>
      <c r="BS729" s="3"/>
      <c r="BT729" s="3"/>
      <c r="BU729" s="3"/>
    </row>
    <row r="730" spans="1:73" ht="15">
      <c r="A730"/>
      <c r="J730"/>
      <c r="AA730"/>
      <c r="AB730"/>
      <c r="AC730"/>
      <c r="AD730"/>
      <c r="AE730"/>
      <c r="AF730"/>
      <c r="AG730"/>
      <c r="AH730"/>
      <c r="BQ730" s="2"/>
      <c r="BR730" s="3"/>
      <c r="BS730" s="3"/>
      <c r="BT730" s="3"/>
      <c r="BU730" s="3"/>
    </row>
    <row r="731" spans="1:73" ht="15">
      <c r="A731"/>
      <c r="J731"/>
      <c r="AA731"/>
      <c r="AB731"/>
      <c r="AC731"/>
      <c r="AD731"/>
      <c r="AE731"/>
      <c r="AF731"/>
      <c r="AG731"/>
      <c r="AH731"/>
      <c r="BQ731" s="2"/>
      <c r="BR731" s="3"/>
      <c r="BS731" s="3"/>
      <c r="BT731" s="3"/>
      <c r="BU731" s="3"/>
    </row>
    <row r="732" spans="1:73" ht="15">
      <c r="A732"/>
      <c r="J732"/>
      <c r="AA732"/>
      <c r="AB732"/>
      <c r="AC732"/>
      <c r="AD732"/>
      <c r="AE732"/>
      <c r="AF732"/>
      <c r="AG732"/>
      <c r="AH732"/>
      <c r="BQ732" s="2"/>
      <c r="BR732" s="3"/>
      <c r="BS732" s="3"/>
      <c r="BT732" s="3"/>
      <c r="BU732" s="3"/>
    </row>
    <row r="733" spans="1:73" ht="15">
      <c r="A733"/>
      <c r="J733"/>
      <c r="AA733"/>
      <c r="AB733"/>
      <c r="AC733"/>
      <c r="AD733"/>
      <c r="AE733"/>
      <c r="AF733"/>
      <c r="AG733"/>
      <c r="AH733"/>
      <c r="BQ733" s="2"/>
      <c r="BR733" s="3"/>
      <c r="BS733" s="3"/>
      <c r="BT733" s="3"/>
      <c r="BU733" s="3"/>
    </row>
    <row r="734" spans="1:73" ht="15">
      <c r="A734"/>
      <c r="J734"/>
      <c r="AA734"/>
      <c r="AB734"/>
      <c r="AC734"/>
      <c r="AD734"/>
      <c r="AE734"/>
      <c r="AF734"/>
      <c r="AG734"/>
      <c r="AH734"/>
      <c r="BQ734" s="2"/>
      <c r="BR734" s="3"/>
      <c r="BS734" s="3"/>
      <c r="BT734" s="3"/>
      <c r="BU734" s="3"/>
    </row>
    <row r="735" spans="1:73" ht="15">
      <c r="A735"/>
      <c r="J735"/>
      <c r="AA735"/>
      <c r="AB735"/>
      <c r="AC735"/>
      <c r="AD735"/>
      <c r="AE735"/>
      <c r="AF735"/>
      <c r="AG735"/>
      <c r="AH735"/>
      <c r="BQ735" s="2"/>
      <c r="BR735" s="3"/>
      <c r="BS735" s="3"/>
      <c r="BT735" s="3"/>
      <c r="BU735" s="3"/>
    </row>
    <row r="736" spans="1:73" ht="15">
      <c r="A736"/>
      <c r="J736"/>
      <c r="AA736"/>
      <c r="AB736"/>
      <c r="AC736"/>
      <c r="AD736"/>
      <c r="AE736"/>
      <c r="AF736"/>
      <c r="AG736"/>
      <c r="AH736"/>
      <c r="BQ736" s="2"/>
      <c r="BR736" s="3"/>
      <c r="BS736" s="3"/>
      <c r="BT736" s="3"/>
      <c r="BU736" s="3"/>
    </row>
    <row r="737" spans="1:73" ht="15">
      <c r="A737"/>
      <c r="J737"/>
      <c r="AA737"/>
      <c r="AB737"/>
      <c r="AC737"/>
      <c r="AD737"/>
      <c r="AE737"/>
      <c r="AF737"/>
      <c r="AG737"/>
      <c r="AH737"/>
      <c r="BQ737" s="2"/>
      <c r="BR737" s="3"/>
      <c r="BS737" s="3"/>
      <c r="BT737" s="3"/>
      <c r="BU737" s="3"/>
    </row>
    <row r="738" spans="1:73" ht="15">
      <c r="A738"/>
      <c r="J738"/>
      <c r="AA738"/>
      <c r="AB738"/>
      <c r="AC738"/>
      <c r="AD738"/>
      <c r="AE738"/>
      <c r="AF738"/>
      <c r="AG738"/>
      <c r="AH738"/>
      <c r="BQ738" s="2"/>
      <c r="BR738" s="3"/>
      <c r="BS738" s="3"/>
      <c r="BT738" s="3"/>
      <c r="BU738" s="3"/>
    </row>
    <row r="739" spans="1:73" ht="15">
      <c r="A739"/>
      <c r="J739"/>
      <c r="AA739"/>
      <c r="AB739"/>
      <c r="AC739"/>
      <c r="AD739"/>
      <c r="AE739"/>
      <c r="AF739"/>
      <c r="AG739"/>
      <c r="AH739"/>
      <c r="BQ739" s="2"/>
      <c r="BR739" s="3"/>
      <c r="BS739" s="3"/>
      <c r="BT739" s="3"/>
      <c r="BU739" s="3"/>
    </row>
    <row r="740" spans="1:73" ht="15">
      <c r="A740"/>
      <c r="J740"/>
      <c r="AA740"/>
      <c r="AB740"/>
      <c r="AC740"/>
      <c r="AD740"/>
      <c r="AE740"/>
      <c r="AF740"/>
      <c r="AG740"/>
      <c r="AH740"/>
      <c r="BQ740" s="2"/>
      <c r="BR740" s="3"/>
      <c r="BS740" s="3"/>
      <c r="BT740" s="3"/>
      <c r="BU740" s="3"/>
    </row>
    <row r="741" spans="1:73" ht="15">
      <c r="A741"/>
      <c r="J741"/>
      <c r="AA741"/>
      <c r="AB741"/>
      <c r="AC741"/>
      <c r="AD741"/>
      <c r="AE741"/>
      <c r="AF741"/>
      <c r="AG741"/>
      <c r="AH741"/>
      <c r="BQ741" s="2"/>
      <c r="BR741" s="3"/>
      <c r="BS741" s="3"/>
      <c r="BT741" s="3"/>
      <c r="BU741" s="3"/>
    </row>
    <row r="742" spans="1:73" ht="15">
      <c r="A742"/>
      <c r="J742"/>
      <c r="AA742"/>
      <c r="AB742"/>
      <c r="AC742"/>
      <c r="AD742"/>
      <c r="AE742"/>
      <c r="AF742"/>
      <c r="AG742"/>
      <c r="AH742"/>
      <c r="BQ742" s="2"/>
      <c r="BR742" s="3"/>
      <c r="BS742" s="3"/>
      <c r="BT742" s="3"/>
      <c r="BU742" s="3"/>
    </row>
    <row r="743" spans="1:73" ht="15">
      <c r="A743"/>
      <c r="J743"/>
      <c r="AA743"/>
      <c r="AB743"/>
      <c r="AC743"/>
      <c r="AD743"/>
      <c r="AE743"/>
      <c r="AF743"/>
      <c r="AG743"/>
      <c r="AH743"/>
      <c r="BQ743" s="2"/>
      <c r="BR743" s="3"/>
      <c r="BS743" s="3"/>
      <c r="BT743" s="3"/>
      <c r="BU743" s="3"/>
    </row>
    <row r="744" spans="1:73" ht="15">
      <c r="A744"/>
      <c r="J744"/>
      <c r="AA744"/>
      <c r="AB744"/>
      <c r="AC744"/>
      <c r="AD744"/>
      <c r="AE744"/>
      <c r="AF744"/>
      <c r="AG744"/>
      <c r="AH744"/>
      <c r="BQ744" s="2"/>
      <c r="BR744" s="3"/>
      <c r="BS744" s="3"/>
      <c r="BT744" s="3"/>
      <c r="BU744" s="3"/>
    </row>
    <row r="745" spans="1:73" ht="15">
      <c r="A745"/>
      <c r="J745"/>
      <c r="AA745"/>
      <c r="AB745"/>
      <c r="AC745"/>
      <c r="AD745"/>
      <c r="AE745"/>
      <c r="AF745"/>
      <c r="AG745"/>
      <c r="AH745"/>
      <c r="BQ745" s="2"/>
      <c r="BR745" s="3"/>
      <c r="BS745" s="3"/>
      <c r="BT745" s="3"/>
      <c r="BU745" s="3"/>
    </row>
    <row r="746" spans="1:73" ht="15">
      <c r="A746"/>
      <c r="J746"/>
      <c r="AA746"/>
      <c r="AB746"/>
      <c r="AC746"/>
      <c r="AD746"/>
      <c r="AE746"/>
      <c r="AF746"/>
      <c r="AG746"/>
      <c r="AH746"/>
      <c r="BQ746" s="2"/>
      <c r="BR746" s="3"/>
      <c r="BS746" s="3"/>
      <c r="BT746" s="3"/>
      <c r="BU746" s="3"/>
    </row>
    <row r="747" spans="1:73" ht="15">
      <c r="A747"/>
      <c r="J747"/>
      <c r="AA747"/>
      <c r="AB747"/>
      <c r="AC747"/>
      <c r="AD747"/>
      <c r="AE747"/>
      <c r="AF747"/>
      <c r="AG747"/>
      <c r="AH747"/>
      <c r="BQ747" s="2"/>
      <c r="BR747" s="3"/>
      <c r="BS747" s="3"/>
      <c r="BT747" s="3"/>
      <c r="BU747" s="3"/>
    </row>
    <row r="748" spans="1:73" ht="15">
      <c r="A748"/>
      <c r="J748"/>
      <c r="AA748"/>
      <c r="AB748"/>
      <c r="AC748"/>
      <c r="AD748"/>
      <c r="AE748"/>
      <c r="AF748"/>
      <c r="AG748"/>
      <c r="AH748"/>
      <c r="BQ748" s="2"/>
      <c r="BR748" s="3"/>
      <c r="BS748" s="3"/>
      <c r="BT748" s="3"/>
      <c r="BU748" s="3"/>
    </row>
    <row r="749" spans="1:73" ht="15">
      <c r="A749"/>
      <c r="J749"/>
      <c r="AA749"/>
      <c r="AB749"/>
      <c r="AC749"/>
      <c r="AD749"/>
      <c r="AE749"/>
      <c r="AF749"/>
      <c r="AG749"/>
      <c r="AH749"/>
      <c r="BQ749" s="2"/>
      <c r="BR749" s="3"/>
      <c r="BS749" s="3"/>
      <c r="BT749" s="3"/>
      <c r="BU749" s="3"/>
    </row>
    <row r="750" spans="1:73" ht="15">
      <c r="A750"/>
      <c r="J750"/>
      <c r="AA750"/>
      <c r="AB750"/>
      <c r="AC750"/>
      <c r="AD750"/>
      <c r="AE750"/>
      <c r="AF750"/>
      <c r="AG750"/>
      <c r="AH750"/>
      <c r="BQ750" s="2"/>
      <c r="BR750" s="3"/>
      <c r="BS750" s="3"/>
      <c r="BT750" s="3"/>
      <c r="BU750" s="3"/>
    </row>
    <row r="751" spans="1:73" ht="15">
      <c r="A751"/>
      <c r="J751"/>
      <c r="AA751"/>
      <c r="AB751"/>
      <c r="AC751"/>
      <c r="AD751"/>
      <c r="AE751"/>
      <c r="AF751"/>
      <c r="AG751"/>
      <c r="AH751"/>
      <c r="BQ751" s="2"/>
      <c r="BR751" s="3"/>
      <c r="BS751" s="3"/>
      <c r="BT751" s="3"/>
      <c r="BU751" s="3"/>
    </row>
    <row r="752" spans="1:73" ht="15">
      <c r="A752"/>
      <c r="J752"/>
      <c r="AA752"/>
      <c r="AB752"/>
      <c r="AC752"/>
      <c r="AD752"/>
      <c r="AE752"/>
      <c r="AF752"/>
      <c r="AG752"/>
      <c r="AH752"/>
      <c r="BQ752" s="2"/>
      <c r="BR752" s="3"/>
      <c r="BS752" s="3"/>
      <c r="BT752" s="3"/>
      <c r="BU752" s="3"/>
    </row>
    <row r="753" spans="1:73" ht="15">
      <c r="A753"/>
      <c r="J753"/>
      <c r="AA753"/>
      <c r="AB753"/>
      <c r="AC753"/>
      <c r="AD753"/>
      <c r="AE753"/>
      <c r="AF753"/>
      <c r="AG753"/>
      <c r="AH753"/>
      <c r="BQ753" s="2"/>
      <c r="BR753" s="3"/>
      <c r="BS753" s="3"/>
      <c r="BT753" s="3"/>
      <c r="BU753" s="3"/>
    </row>
    <row r="754" spans="1:73" ht="15">
      <c r="A754"/>
      <c r="J754"/>
      <c r="AA754"/>
      <c r="AB754"/>
      <c r="AC754"/>
      <c r="AD754"/>
      <c r="AE754"/>
      <c r="AF754"/>
      <c r="AG754"/>
      <c r="AH754"/>
      <c r="BQ754" s="2"/>
      <c r="BR754" s="3"/>
      <c r="BS754" s="3"/>
      <c r="BT754" s="3"/>
      <c r="BU754" s="3"/>
    </row>
    <row r="755" spans="1:73" ht="15">
      <c r="A755"/>
      <c r="J755"/>
      <c r="AA755"/>
      <c r="AB755"/>
      <c r="AC755"/>
      <c r="AD755"/>
      <c r="AE755"/>
      <c r="AF755"/>
      <c r="AG755"/>
      <c r="AH755"/>
      <c r="BQ755" s="2"/>
      <c r="BR755" s="3"/>
      <c r="BS755" s="3"/>
      <c r="BT755" s="3"/>
      <c r="BU755" s="3"/>
    </row>
    <row r="756" spans="1:73" ht="15">
      <c r="A756"/>
      <c r="J756"/>
      <c r="AA756"/>
      <c r="AB756"/>
      <c r="AC756"/>
      <c r="AD756"/>
      <c r="AE756"/>
      <c r="AF756"/>
      <c r="AG756"/>
      <c r="AH756"/>
      <c r="BQ756" s="2"/>
      <c r="BR756" s="3"/>
      <c r="BS756" s="3"/>
      <c r="BT756" s="3"/>
      <c r="BU756" s="3"/>
    </row>
    <row r="757" spans="1:73" ht="15">
      <c r="A757"/>
      <c r="J757"/>
      <c r="AA757"/>
      <c r="AB757"/>
      <c r="AC757"/>
      <c r="AD757"/>
      <c r="AE757"/>
      <c r="AF757"/>
      <c r="AG757"/>
      <c r="AH757"/>
      <c r="BQ757" s="2"/>
      <c r="BR757" s="3"/>
      <c r="BS757" s="3"/>
      <c r="BT757" s="3"/>
      <c r="BU757" s="3"/>
    </row>
    <row r="758" spans="1:73" ht="15">
      <c r="A758"/>
      <c r="J758"/>
      <c r="AA758"/>
      <c r="AB758"/>
      <c r="AC758"/>
      <c r="AD758"/>
      <c r="AE758"/>
      <c r="AF758"/>
      <c r="AG758"/>
      <c r="AH758"/>
      <c r="BQ758" s="2"/>
      <c r="BR758" s="3"/>
      <c r="BS758" s="3"/>
      <c r="BT758" s="3"/>
      <c r="BU758" s="3"/>
    </row>
    <row r="759" spans="1:73" ht="15">
      <c r="A759"/>
      <c r="J759"/>
      <c r="AA759"/>
      <c r="AB759"/>
      <c r="AC759"/>
      <c r="AD759"/>
      <c r="AE759"/>
      <c r="AF759"/>
      <c r="AG759"/>
      <c r="AH759"/>
      <c r="BQ759" s="2"/>
      <c r="BR759" s="3"/>
      <c r="BS759" s="3"/>
      <c r="BT759" s="3"/>
      <c r="BU759" s="3"/>
    </row>
    <row r="760" spans="1:73" ht="15">
      <c r="A760"/>
      <c r="J760"/>
      <c r="AA760"/>
      <c r="AB760"/>
      <c r="AC760"/>
      <c r="AD760"/>
      <c r="AE760"/>
      <c r="AF760"/>
      <c r="AG760"/>
      <c r="AH760"/>
      <c r="BQ760" s="2"/>
      <c r="BR760" s="3"/>
      <c r="BS760" s="3"/>
      <c r="BT760" s="3"/>
      <c r="BU760" s="3"/>
    </row>
    <row r="761" spans="1:73" ht="15">
      <c r="A761"/>
      <c r="J761"/>
      <c r="AA761"/>
      <c r="AB761"/>
      <c r="AC761"/>
      <c r="AD761"/>
      <c r="AE761"/>
      <c r="AF761"/>
      <c r="AG761"/>
      <c r="AH761"/>
      <c r="BQ761" s="2"/>
      <c r="BR761" s="3"/>
      <c r="BS761" s="3"/>
      <c r="BT761" s="3"/>
      <c r="BU761" s="3"/>
    </row>
    <row r="762" spans="1:73" ht="15">
      <c r="A762"/>
      <c r="J762"/>
      <c r="AA762"/>
      <c r="AB762"/>
      <c r="AC762"/>
      <c r="AD762"/>
      <c r="AE762"/>
      <c r="AF762"/>
      <c r="AG762"/>
      <c r="AH762"/>
      <c r="BQ762" s="2"/>
      <c r="BR762" s="3"/>
      <c r="BS762" s="3"/>
      <c r="BT762" s="3"/>
      <c r="BU762" s="3"/>
    </row>
    <row r="763" spans="1:73" ht="15">
      <c r="A763"/>
      <c r="J763"/>
      <c r="AA763"/>
      <c r="AB763"/>
      <c r="AC763"/>
      <c r="AD763"/>
      <c r="AE763"/>
      <c r="AF763"/>
      <c r="AG763"/>
      <c r="AH763"/>
      <c r="BQ763" s="2"/>
      <c r="BR763" s="3"/>
      <c r="BS763" s="3"/>
      <c r="BT763" s="3"/>
      <c r="BU763" s="3"/>
    </row>
    <row r="764" spans="1:73" ht="15">
      <c r="A764"/>
      <c r="J764"/>
      <c r="AA764"/>
      <c r="AB764"/>
      <c r="AC764"/>
      <c r="AD764"/>
      <c r="AE764"/>
      <c r="AF764"/>
      <c r="AG764"/>
      <c r="AH764"/>
      <c r="BQ764" s="2"/>
      <c r="BR764" s="3"/>
      <c r="BS764" s="3"/>
      <c r="BT764" s="3"/>
      <c r="BU764" s="3"/>
    </row>
    <row r="765" spans="1:73" ht="15">
      <c r="A765"/>
      <c r="J765"/>
      <c r="AA765"/>
      <c r="AB765"/>
      <c r="AC765"/>
      <c r="AD765"/>
      <c r="AE765"/>
      <c r="AF765"/>
      <c r="AG765"/>
      <c r="AH765"/>
      <c r="BQ765" s="2"/>
      <c r="BR765" s="3"/>
      <c r="BS765" s="3"/>
      <c r="BT765" s="3"/>
      <c r="BU765" s="3"/>
    </row>
    <row r="766" spans="1:73" ht="15">
      <c r="A766"/>
      <c r="J766"/>
      <c r="AA766"/>
      <c r="AB766"/>
      <c r="AC766"/>
      <c r="AD766"/>
      <c r="AE766"/>
      <c r="AF766"/>
      <c r="AG766"/>
      <c r="AH766"/>
      <c r="BQ766" s="2"/>
      <c r="BR766" s="3"/>
      <c r="BS766" s="3"/>
      <c r="BT766" s="3"/>
      <c r="BU766" s="3"/>
    </row>
    <row r="767" spans="1:73" ht="15">
      <c r="A767"/>
      <c r="J767"/>
      <c r="AA767"/>
      <c r="AB767"/>
      <c r="AC767"/>
      <c r="AD767"/>
      <c r="AE767"/>
      <c r="AF767"/>
      <c r="AG767"/>
      <c r="AH767"/>
      <c r="BQ767" s="2"/>
      <c r="BR767" s="3"/>
      <c r="BS767" s="3"/>
      <c r="BT767" s="3"/>
      <c r="BU767" s="3"/>
    </row>
    <row r="768" spans="1:73" ht="15">
      <c r="A768"/>
      <c r="J768"/>
      <c r="AA768"/>
      <c r="AB768"/>
      <c r="AC768"/>
      <c r="AD768"/>
      <c r="AE768"/>
      <c r="AF768"/>
      <c r="AG768"/>
      <c r="AH768"/>
      <c r="BQ768" s="2"/>
      <c r="BR768" s="3"/>
      <c r="BS768" s="3"/>
      <c r="BT768" s="3"/>
      <c r="BU768" s="3"/>
    </row>
    <row r="769" spans="1:73" ht="15">
      <c r="A769"/>
      <c r="J769"/>
      <c r="AA769"/>
      <c r="AB769"/>
      <c r="AC769"/>
      <c r="AD769"/>
      <c r="AE769"/>
      <c r="AF769"/>
      <c r="AG769"/>
      <c r="AH769"/>
      <c r="BQ769" s="2"/>
      <c r="BR769" s="3"/>
      <c r="BS769" s="3"/>
      <c r="BT769" s="3"/>
      <c r="BU769" s="3"/>
    </row>
    <row r="770" spans="1:73" ht="15">
      <c r="A770"/>
      <c r="J770"/>
      <c r="AA770"/>
      <c r="AB770"/>
      <c r="AC770"/>
      <c r="AD770"/>
      <c r="AE770"/>
      <c r="AF770"/>
      <c r="AG770"/>
      <c r="AH770"/>
      <c r="BQ770" s="2"/>
      <c r="BR770" s="3"/>
      <c r="BS770" s="3"/>
      <c r="BT770" s="3"/>
      <c r="BU770" s="3"/>
    </row>
    <row r="771" spans="1:73" ht="15">
      <c r="A771"/>
      <c r="J771"/>
      <c r="AA771"/>
      <c r="AB771"/>
      <c r="AC771"/>
      <c r="AD771"/>
      <c r="AE771"/>
      <c r="AF771"/>
      <c r="AG771"/>
      <c r="AH771"/>
      <c r="BQ771" s="2"/>
      <c r="BR771" s="3"/>
      <c r="BS771" s="3"/>
      <c r="BT771" s="3"/>
      <c r="BU771" s="3"/>
    </row>
    <row r="772" spans="1:73" ht="15">
      <c r="A772"/>
      <c r="J772"/>
      <c r="AA772"/>
      <c r="AB772"/>
      <c r="AC772"/>
      <c r="AD772"/>
      <c r="AE772"/>
      <c r="AF772"/>
      <c r="AG772"/>
      <c r="AH772"/>
      <c r="BQ772" s="2"/>
      <c r="BR772" s="3"/>
      <c r="BS772" s="3"/>
      <c r="BT772" s="3"/>
      <c r="BU772" s="3"/>
    </row>
    <row r="773" spans="1:73" ht="15">
      <c r="A773"/>
      <c r="J773"/>
      <c r="AA773"/>
      <c r="AB773"/>
      <c r="AC773"/>
      <c r="AD773"/>
      <c r="AE773"/>
      <c r="AF773"/>
      <c r="AG773"/>
      <c r="AH773"/>
      <c r="BQ773" s="2"/>
      <c r="BR773" s="3"/>
      <c r="BS773" s="3"/>
      <c r="BT773" s="3"/>
      <c r="BU773" s="3"/>
    </row>
    <row r="774" spans="1:73" ht="15">
      <c r="A774"/>
      <c r="J774"/>
      <c r="AA774"/>
      <c r="AB774"/>
      <c r="AC774"/>
      <c r="AD774"/>
      <c r="AE774"/>
      <c r="AF774"/>
      <c r="AG774"/>
      <c r="AH774"/>
      <c r="BQ774" s="2"/>
      <c r="BR774" s="3"/>
      <c r="BS774" s="3"/>
      <c r="BT774" s="3"/>
      <c r="BU774" s="3"/>
    </row>
    <row r="775" spans="1:73" ht="15">
      <c r="A775"/>
      <c r="J775"/>
      <c r="AA775"/>
      <c r="AB775"/>
      <c r="AC775"/>
      <c r="AD775"/>
      <c r="AE775"/>
      <c r="AF775"/>
      <c r="AG775"/>
      <c r="AH775"/>
      <c r="BQ775" s="2"/>
      <c r="BR775" s="3"/>
      <c r="BS775" s="3"/>
      <c r="BT775" s="3"/>
      <c r="BU775" s="3"/>
    </row>
    <row r="776" spans="1:73" ht="15">
      <c r="A776"/>
      <c r="J776"/>
      <c r="AA776"/>
      <c r="AB776"/>
      <c r="AC776"/>
      <c r="AD776"/>
      <c r="AE776"/>
      <c r="AF776"/>
      <c r="AG776"/>
      <c r="AH776"/>
      <c r="BQ776" s="2"/>
      <c r="BR776" s="3"/>
      <c r="BS776" s="3"/>
      <c r="BT776" s="3"/>
      <c r="BU776" s="3"/>
    </row>
    <row r="777" spans="1:73" ht="15">
      <c r="A777"/>
      <c r="J777"/>
      <c r="AA777"/>
      <c r="AB777"/>
      <c r="AC777"/>
      <c r="AD777"/>
      <c r="AE777"/>
      <c r="AF777"/>
      <c r="AG777"/>
      <c r="AH777"/>
      <c r="BQ777" s="2"/>
      <c r="BR777" s="3"/>
      <c r="BS777" s="3"/>
      <c r="BT777" s="3"/>
      <c r="BU777" s="3"/>
    </row>
    <row r="778" spans="1:73" ht="15">
      <c r="A778"/>
      <c r="J778"/>
      <c r="AA778"/>
      <c r="AB778"/>
      <c r="AC778"/>
      <c r="AD778"/>
      <c r="AE778"/>
      <c r="AF778"/>
      <c r="AG778"/>
      <c r="AH778"/>
      <c r="BQ778" s="2"/>
      <c r="BR778" s="3"/>
      <c r="BS778" s="3"/>
      <c r="BT778" s="3"/>
      <c r="BU778" s="3"/>
    </row>
    <row r="779" spans="1:73" ht="15">
      <c r="A779"/>
      <c r="J779"/>
      <c r="AA779"/>
      <c r="AB779"/>
      <c r="AC779"/>
      <c r="AD779"/>
      <c r="AE779"/>
      <c r="AF779"/>
      <c r="AG779"/>
      <c r="AH779"/>
      <c r="BQ779" s="2"/>
      <c r="BR779" s="3"/>
      <c r="BS779" s="3"/>
      <c r="BT779" s="3"/>
      <c r="BU779" s="3"/>
    </row>
    <row r="780" spans="1:73" ht="15">
      <c r="A780"/>
      <c r="J780"/>
      <c r="AA780"/>
      <c r="AB780"/>
      <c r="AC780"/>
      <c r="AD780"/>
      <c r="AE780"/>
      <c r="AF780"/>
      <c r="AG780"/>
      <c r="AH780"/>
      <c r="BQ780" s="2"/>
      <c r="BR780" s="3"/>
      <c r="BS780" s="3"/>
      <c r="BT780" s="3"/>
      <c r="BU780" s="3"/>
    </row>
    <row r="781" spans="1:73" ht="15">
      <c r="A781"/>
      <c r="J781"/>
      <c r="AA781"/>
      <c r="AB781"/>
      <c r="AC781"/>
      <c r="AD781"/>
      <c r="AE781"/>
      <c r="AF781"/>
      <c r="AG781"/>
      <c r="AH781"/>
      <c r="BQ781" s="2"/>
      <c r="BR781" s="3"/>
      <c r="BS781" s="3"/>
      <c r="BT781" s="3"/>
      <c r="BU781" s="3"/>
    </row>
    <row r="782" spans="1:73" ht="15">
      <c r="A782"/>
      <c r="J782"/>
      <c r="AA782"/>
      <c r="AB782"/>
      <c r="AC782"/>
      <c r="AD782"/>
      <c r="AE782"/>
      <c r="AF782"/>
      <c r="AG782"/>
      <c r="AH782"/>
      <c r="BQ782" s="2"/>
      <c r="BR782" s="3"/>
      <c r="BS782" s="3"/>
      <c r="BT782" s="3"/>
      <c r="BU782" s="3"/>
    </row>
    <row r="783" spans="1:73" ht="15">
      <c r="A783"/>
      <c r="J783"/>
      <c r="AA783"/>
      <c r="AB783"/>
      <c r="AC783"/>
      <c r="AD783"/>
      <c r="AE783"/>
      <c r="AF783"/>
      <c r="AG783"/>
      <c r="AH783"/>
      <c r="BQ783" s="2"/>
      <c r="BR783" s="3"/>
      <c r="BS783" s="3"/>
      <c r="BT783" s="3"/>
      <c r="BU783" s="3"/>
    </row>
    <row r="784" spans="1:73" ht="15">
      <c r="A784"/>
      <c r="J784"/>
      <c r="AA784"/>
      <c r="AB784"/>
      <c r="AC784"/>
      <c r="AD784"/>
      <c r="AE784"/>
      <c r="AF784"/>
      <c r="AG784"/>
      <c r="AH784"/>
      <c r="BQ784" s="2"/>
      <c r="BR784" s="3"/>
      <c r="BS784" s="3"/>
      <c r="BT784" s="3"/>
      <c r="BU784" s="3"/>
    </row>
    <row r="785" spans="1:73" ht="15">
      <c r="A785"/>
      <c r="J785"/>
      <c r="AA785"/>
      <c r="AB785"/>
      <c r="AC785"/>
      <c r="AD785"/>
      <c r="AE785"/>
      <c r="AF785"/>
      <c r="AG785"/>
      <c r="AH785"/>
      <c r="BQ785" s="2"/>
      <c r="BR785" s="3"/>
      <c r="BS785" s="3"/>
      <c r="BT785" s="3"/>
      <c r="BU785" s="3"/>
    </row>
    <row r="786" spans="1:73" ht="15">
      <c r="A786"/>
      <c r="J786"/>
      <c r="AA786"/>
      <c r="AB786"/>
      <c r="AC786"/>
      <c r="AD786"/>
      <c r="AE786"/>
      <c r="AF786"/>
      <c r="AG786"/>
      <c r="AH786"/>
      <c r="BQ786" s="2"/>
      <c r="BR786" s="3"/>
      <c r="BS786" s="3"/>
      <c r="BT786" s="3"/>
      <c r="BU786" s="3"/>
    </row>
    <row r="787" spans="1:73" ht="15">
      <c r="A787"/>
      <c r="J787"/>
      <c r="AA787"/>
      <c r="AB787"/>
      <c r="AC787"/>
      <c r="AD787"/>
      <c r="AE787"/>
      <c r="AF787"/>
      <c r="AG787"/>
      <c r="AH787"/>
      <c r="BQ787" s="2"/>
      <c r="BR787" s="3"/>
      <c r="BS787" s="3"/>
      <c r="BT787" s="3"/>
      <c r="BU787" s="3"/>
    </row>
    <row r="788" spans="1:73" ht="15">
      <c r="A788"/>
      <c r="J788"/>
      <c r="AA788"/>
      <c r="AB788"/>
      <c r="AC788"/>
      <c r="AD788"/>
      <c r="AE788"/>
      <c r="AF788"/>
      <c r="AG788"/>
      <c r="AH788"/>
      <c r="BQ788" s="2"/>
      <c r="BR788" s="3"/>
      <c r="BS788" s="3"/>
      <c r="BT788" s="3"/>
      <c r="BU788" s="3"/>
    </row>
    <row r="789" spans="1:73" ht="15">
      <c r="A789"/>
      <c r="J789"/>
      <c r="AA789"/>
      <c r="AB789"/>
      <c r="AC789"/>
      <c r="AD789"/>
      <c r="AE789"/>
      <c r="AF789"/>
      <c r="AG789"/>
      <c r="AH789"/>
      <c r="BQ789" s="2"/>
      <c r="BR789" s="3"/>
      <c r="BS789" s="3"/>
      <c r="BT789" s="3"/>
      <c r="BU789" s="3"/>
    </row>
    <row r="790" spans="1:73" ht="15">
      <c r="A790"/>
      <c r="J790"/>
      <c r="AA790"/>
      <c r="AB790"/>
      <c r="AC790"/>
      <c r="AD790"/>
      <c r="AE790"/>
      <c r="AF790"/>
      <c r="AG790"/>
      <c r="AH790"/>
      <c r="BQ790" s="2"/>
      <c r="BR790" s="3"/>
      <c r="BS790" s="3"/>
      <c r="BT790" s="3"/>
      <c r="BU790" s="3"/>
    </row>
    <row r="791" spans="1:73" ht="15">
      <c r="A791"/>
      <c r="J791"/>
      <c r="AA791"/>
      <c r="AB791"/>
      <c r="AC791"/>
      <c r="AD791"/>
      <c r="AE791"/>
      <c r="AF791"/>
      <c r="AG791"/>
      <c r="AH791"/>
      <c r="BQ791" s="2"/>
      <c r="BR791" s="3"/>
      <c r="BS791" s="3"/>
      <c r="BT791" s="3"/>
      <c r="BU791" s="3"/>
    </row>
    <row r="792" spans="1:73" ht="15">
      <c r="A792"/>
      <c r="J792"/>
      <c r="AA792"/>
      <c r="AB792"/>
      <c r="AC792"/>
      <c r="AD792"/>
      <c r="AE792"/>
      <c r="AF792"/>
      <c r="AG792"/>
      <c r="AH792"/>
      <c r="BQ792" s="2"/>
      <c r="BR792" s="3"/>
      <c r="BS792" s="3"/>
      <c r="BT792" s="3"/>
      <c r="BU792" s="3"/>
    </row>
    <row r="793" spans="1:73" ht="15">
      <c r="A793"/>
      <c r="J793"/>
      <c r="AA793"/>
      <c r="AB793"/>
      <c r="AC793"/>
      <c r="AD793"/>
      <c r="AE793"/>
      <c r="AF793"/>
      <c r="AG793"/>
      <c r="AH793"/>
      <c r="BQ793" s="2"/>
      <c r="BR793" s="3"/>
      <c r="BS793" s="3"/>
      <c r="BT793" s="3"/>
      <c r="BU793" s="3"/>
    </row>
    <row r="794" spans="1:73" ht="15">
      <c r="A794"/>
      <c r="J794"/>
      <c r="AA794"/>
      <c r="AB794"/>
      <c r="AC794"/>
      <c r="AD794"/>
      <c r="AE794"/>
      <c r="AF794"/>
      <c r="AG794"/>
      <c r="AH794"/>
      <c r="BQ794" s="2"/>
      <c r="BR794" s="3"/>
      <c r="BS794" s="3"/>
      <c r="BT794" s="3"/>
      <c r="BU794" s="3"/>
    </row>
    <row r="795" spans="1:73" ht="15">
      <c r="A795"/>
      <c r="J795"/>
      <c r="AA795"/>
      <c r="AB795"/>
      <c r="AC795"/>
      <c r="AD795"/>
      <c r="AE795"/>
      <c r="AF795"/>
      <c r="AG795"/>
      <c r="AH795"/>
      <c r="BQ795" s="2"/>
      <c r="BR795" s="3"/>
      <c r="BS795" s="3"/>
      <c r="BT795" s="3"/>
      <c r="BU795" s="3"/>
    </row>
    <row r="796" spans="1:73" ht="15">
      <c r="A796"/>
      <c r="J796"/>
      <c r="AA796"/>
      <c r="AB796"/>
      <c r="AC796"/>
      <c r="AD796"/>
      <c r="AE796"/>
      <c r="AF796"/>
      <c r="AG796"/>
      <c r="AH796"/>
      <c r="BQ796" s="2"/>
      <c r="BR796" s="3"/>
      <c r="BS796" s="3"/>
      <c r="BT796" s="3"/>
      <c r="BU796" s="3"/>
    </row>
    <row r="797" spans="1:73" ht="15">
      <c r="A797"/>
      <c r="J797"/>
      <c r="AA797"/>
      <c r="AB797"/>
      <c r="AC797"/>
      <c r="AD797"/>
      <c r="AE797"/>
      <c r="AF797"/>
      <c r="AG797"/>
      <c r="AH797"/>
      <c r="BQ797" s="2"/>
      <c r="BR797" s="3"/>
      <c r="BS797" s="3"/>
      <c r="BT797" s="3"/>
      <c r="BU797" s="3"/>
    </row>
    <row r="798" spans="1:73" ht="15">
      <c r="A798"/>
      <c r="J798"/>
      <c r="AA798"/>
      <c r="AB798"/>
      <c r="AC798"/>
      <c r="AD798"/>
      <c r="AE798"/>
      <c r="AF798"/>
      <c r="AG798"/>
      <c r="AH798"/>
      <c r="BQ798" s="2"/>
      <c r="BR798" s="3"/>
      <c r="BS798" s="3"/>
      <c r="BT798" s="3"/>
      <c r="BU798" s="3"/>
    </row>
    <row r="799" spans="1:73" ht="15">
      <c r="A799"/>
      <c r="J799"/>
      <c r="AA799"/>
      <c r="AB799"/>
      <c r="AC799"/>
      <c r="AD799"/>
      <c r="AE799"/>
      <c r="AF799"/>
      <c r="AG799"/>
      <c r="AH799"/>
      <c r="BQ799" s="2"/>
      <c r="BR799" s="3"/>
      <c r="BS799" s="3"/>
      <c r="BT799" s="3"/>
      <c r="BU799" s="3"/>
    </row>
    <row r="800" spans="1:73" ht="15">
      <c r="A800"/>
      <c r="J800"/>
      <c r="AA800"/>
      <c r="AB800"/>
      <c r="AC800"/>
      <c r="AD800"/>
      <c r="AE800"/>
      <c r="AF800"/>
      <c r="AG800"/>
      <c r="AH800"/>
      <c r="BQ800" s="2"/>
      <c r="BR800" s="3"/>
      <c r="BS800" s="3"/>
      <c r="BT800" s="3"/>
      <c r="BU800" s="3"/>
    </row>
    <row r="801" spans="1:73" ht="15">
      <c r="A801"/>
      <c r="J801"/>
      <c r="AA801"/>
      <c r="AB801"/>
      <c r="AC801"/>
      <c r="AD801"/>
      <c r="AE801"/>
      <c r="AF801"/>
      <c r="AG801"/>
      <c r="AH801"/>
      <c r="BQ801" s="2"/>
      <c r="BR801" s="3"/>
      <c r="BS801" s="3"/>
      <c r="BT801" s="3"/>
      <c r="BU801" s="3"/>
    </row>
    <row r="802" spans="1:73" ht="15">
      <c r="A802"/>
      <c r="J802"/>
      <c r="AA802"/>
      <c r="AB802"/>
      <c r="AC802"/>
      <c r="AD802"/>
      <c r="AE802"/>
      <c r="AF802"/>
      <c r="AG802"/>
      <c r="AH802"/>
      <c r="BQ802" s="2"/>
      <c r="BR802" s="3"/>
      <c r="BS802" s="3"/>
      <c r="BT802" s="3"/>
      <c r="BU802" s="3"/>
    </row>
    <row r="803" spans="1:73" ht="15">
      <c r="A803"/>
      <c r="J803"/>
      <c r="AA803"/>
      <c r="AB803"/>
      <c r="AC803"/>
      <c r="AD803"/>
      <c r="AE803"/>
      <c r="AF803"/>
      <c r="AG803"/>
      <c r="AH803"/>
      <c r="BQ803" s="2"/>
      <c r="BR803" s="3"/>
      <c r="BS803" s="3"/>
      <c r="BT803" s="3"/>
      <c r="BU803" s="3"/>
    </row>
    <row r="804" spans="1:73" ht="15">
      <c r="A804"/>
      <c r="J804"/>
      <c r="AA804"/>
      <c r="AB804"/>
      <c r="AC804"/>
      <c r="AD804"/>
      <c r="AE804"/>
      <c r="AF804"/>
      <c r="AG804"/>
      <c r="AH804"/>
      <c r="BQ804" s="2"/>
      <c r="BR804" s="3"/>
      <c r="BS804" s="3"/>
      <c r="BT804" s="3"/>
      <c r="BU804" s="3"/>
    </row>
    <row r="805" spans="1:73" ht="15">
      <c r="A805"/>
      <c r="J805"/>
      <c r="AA805"/>
      <c r="AB805"/>
      <c r="AC805"/>
      <c r="AD805"/>
      <c r="AE805"/>
      <c r="AF805"/>
      <c r="AG805"/>
      <c r="AH805"/>
      <c r="BQ805" s="2"/>
      <c r="BR805" s="3"/>
      <c r="BS805" s="3"/>
      <c r="BT805" s="3"/>
      <c r="BU805" s="3"/>
    </row>
    <row r="806" spans="1:73" ht="15">
      <c r="A806"/>
      <c r="J806"/>
      <c r="AA806"/>
      <c r="AB806"/>
      <c r="AC806"/>
      <c r="AD806"/>
      <c r="AE806"/>
      <c r="AF806"/>
      <c r="AG806"/>
      <c r="AH806"/>
      <c r="BQ806" s="2"/>
      <c r="BR806" s="3"/>
      <c r="BS806" s="3"/>
      <c r="BT806" s="3"/>
      <c r="BU806" s="3"/>
    </row>
    <row r="807" spans="1:73" ht="15">
      <c r="A807"/>
      <c r="J807"/>
      <c r="AA807"/>
      <c r="AB807"/>
      <c r="AC807"/>
      <c r="AD807"/>
      <c r="AE807"/>
      <c r="AF807"/>
      <c r="AG807"/>
      <c r="AH807"/>
      <c r="BQ807" s="2"/>
      <c r="BR807" s="3"/>
      <c r="BS807" s="3"/>
      <c r="BT807" s="3"/>
      <c r="BU807" s="3"/>
    </row>
    <row r="808" spans="1:73" ht="15">
      <c r="A808"/>
      <c r="J808"/>
      <c r="AA808"/>
      <c r="AB808"/>
      <c r="AC808"/>
      <c r="AD808"/>
      <c r="AE808"/>
      <c r="AF808"/>
      <c r="AG808"/>
      <c r="AH808"/>
      <c r="BQ808" s="2"/>
      <c r="BR808" s="3"/>
      <c r="BS808" s="3"/>
      <c r="BT808" s="3"/>
      <c r="BU808" s="3"/>
    </row>
    <row r="809" spans="1:73" ht="15">
      <c r="A809"/>
      <c r="J809"/>
      <c r="AA809"/>
      <c r="AB809"/>
      <c r="AC809"/>
      <c r="AD809"/>
      <c r="AE809"/>
      <c r="AF809"/>
      <c r="AG809"/>
      <c r="AH809"/>
      <c r="BQ809" s="2"/>
      <c r="BR809" s="3"/>
      <c r="BS809" s="3"/>
      <c r="BT809" s="3"/>
      <c r="BU809" s="3"/>
    </row>
    <row r="810" spans="1:73" ht="15">
      <c r="A810"/>
      <c r="J810"/>
      <c r="AA810"/>
      <c r="AB810"/>
      <c r="AC810"/>
      <c r="AD810"/>
      <c r="AE810"/>
      <c r="AF810"/>
      <c r="AG810"/>
      <c r="AH810"/>
      <c r="BQ810" s="2"/>
      <c r="BR810" s="3"/>
      <c r="BS810" s="3"/>
      <c r="BT810" s="3"/>
      <c r="BU810" s="3"/>
    </row>
    <row r="811" spans="1:73" ht="15">
      <c r="A811"/>
      <c r="J811"/>
      <c r="AA811"/>
      <c r="AB811"/>
      <c r="AC811"/>
      <c r="AD811"/>
      <c r="AE811"/>
      <c r="AF811"/>
      <c r="AG811"/>
      <c r="AH811"/>
      <c r="BQ811" s="2"/>
      <c r="BR811" s="3"/>
      <c r="BS811" s="3"/>
      <c r="BT811" s="3"/>
      <c r="BU811" s="3"/>
    </row>
    <row r="812" spans="1:73" ht="15">
      <c r="A812"/>
      <c r="J812"/>
      <c r="AA812"/>
      <c r="AB812"/>
      <c r="AC812"/>
      <c r="AD812"/>
      <c r="AE812"/>
      <c r="AF812"/>
      <c r="AG812"/>
      <c r="AH812"/>
      <c r="BQ812" s="2"/>
      <c r="BR812" s="3"/>
      <c r="BS812" s="3"/>
      <c r="BT812" s="3"/>
      <c r="BU812" s="3"/>
    </row>
    <row r="813" spans="1:73" ht="15">
      <c r="A813"/>
      <c r="J813"/>
      <c r="AA813"/>
      <c r="AB813"/>
      <c r="AC813"/>
      <c r="AD813"/>
      <c r="AE813"/>
      <c r="AF813"/>
      <c r="AG813"/>
      <c r="AH813"/>
      <c r="BQ813" s="2"/>
      <c r="BR813" s="3"/>
      <c r="BS813" s="3"/>
      <c r="BT813" s="3"/>
      <c r="BU813" s="3"/>
    </row>
    <row r="814" spans="1:73" ht="15">
      <c r="A814"/>
      <c r="J814"/>
      <c r="AA814"/>
      <c r="AB814"/>
      <c r="AC814"/>
      <c r="AD814"/>
      <c r="AE814"/>
      <c r="AF814"/>
      <c r="AG814"/>
      <c r="AH814"/>
      <c r="BQ814" s="2"/>
      <c r="BR814" s="3"/>
      <c r="BS814" s="3"/>
      <c r="BT814" s="3"/>
      <c r="BU814" s="3"/>
    </row>
    <row r="815" spans="1:73" ht="15">
      <c r="A815"/>
      <c r="J815"/>
      <c r="AA815"/>
      <c r="AB815"/>
      <c r="AC815"/>
      <c r="AD815"/>
      <c r="AE815"/>
      <c r="AF815"/>
      <c r="AG815"/>
      <c r="AH815"/>
      <c r="BQ815" s="2"/>
      <c r="BR815" s="3"/>
      <c r="BS815" s="3"/>
      <c r="BT815" s="3"/>
      <c r="BU815" s="3"/>
    </row>
    <row r="816" spans="1:73" ht="15">
      <c r="A816"/>
      <c r="J816"/>
      <c r="AA816"/>
      <c r="AB816"/>
      <c r="AC816"/>
      <c r="AD816"/>
      <c r="AE816"/>
      <c r="AF816"/>
      <c r="AG816"/>
      <c r="AH816"/>
      <c r="BQ816" s="2"/>
      <c r="BR816" s="3"/>
      <c r="BS816" s="3"/>
      <c r="BT816" s="3"/>
      <c r="BU816" s="3"/>
    </row>
    <row r="817" spans="1:73" ht="15">
      <c r="A817"/>
      <c r="J817"/>
      <c r="AA817"/>
      <c r="AB817"/>
      <c r="AC817"/>
      <c r="AD817"/>
      <c r="AE817"/>
      <c r="AF817"/>
      <c r="AG817"/>
      <c r="AH817"/>
      <c r="BQ817" s="2"/>
      <c r="BR817" s="3"/>
      <c r="BS817" s="3"/>
      <c r="BT817" s="3"/>
      <c r="BU817" s="3"/>
    </row>
    <row r="818" spans="1:73" ht="15">
      <c r="A818"/>
      <c r="J818"/>
      <c r="AA818"/>
      <c r="AB818"/>
      <c r="AC818"/>
      <c r="AD818"/>
      <c r="AE818"/>
      <c r="AF818"/>
      <c r="AG818"/>
      <c r="AH818"/>
      <c r="BQ818" s="2"/>
      <c r="BR818" s="3"/>
      <c r="BS818" s="3"/>
      <c r="BT818" s="3"/>
      <c r="BU818" s="3"/>
    </row>
    <row r="819" spans="1:73" ht="15">
      <c r="A819"/>
      <c r="J819"/>
      <c r="AA819"/>
      <c r="AB819"/>
      <c r="AC819"/>
      <c r="AD819"/>
      <c r="AE819"/>
      <c r="AF819"/>
      <c r="AG819"/>
      <c r="AH819"/>
      <c r="BQ819" s="2"/>
      <c r="BR819" s="3"/>
      <c r="BS819" s="3"/>
      <c r="BT819" s="3"/>
      <c r="BU819" s="3"/>
    </row>
    <row r="820" spans="1:73" ht="15">
      <c r="A820"/>
      <c r="J820"/>
      <c r="AA820"/>
      <c r="AB820"/>
      <c r="AC820"/>
      <c r="AD820"/>
      <c r="AE820"/>
      <c r="AF820"/>
      <c r="AG820"/>
      <c r="AH820"/>
      <c r="BQ820" s="2"/>
      <c r="BR820" s="3"/>
      <c r="BS820" s="3"/>
      <c r="BT820" s="3"/>
      <c r="BU820" s="3"/>
    </row>
    <row r="821" spans="1:73" ht="15">
      <c r="A821"/>
      <c r="J821"/>
      <c r="AA821"/>
      <c r="AB821"/>
      <c r="AC821"/>
      <c r="AD821"/>
      <c r="AE821"/>
      <c r="AF821"/>
      <c r="AG821"/>
      <c r="AH821"/>
      <c r="BQ821" s="2"/>
      <c r="BR821" s="3"/>
      <c r="BS821" s="3"/>
      <c r="BT821" s="3"/>
      <c r="BU821" s="3"/>
    </row>
    <row r="822" spans="1:73" ht="15">
      <c r="A822"/>
      <c r="J822"/>
      <c r="AA822"/>
      <c r="AB822"/>
      <c r="AC822"/>
      <c r="AD822"/>
      <c r="AE822"/>
      <c r="AF822"/>
      <c r="AG822"/>
      <c r="AH822"/>
      <c r="BQ822" s="2"/>
      <c r="BR822" s="3"/>
      <c r="BS822" s="3"/>
      <c r="BT822" s="3"/>
      <c r="BU822" s="3"/>
    </row>
    <row r="823" spans="1:73" ht="15">
      <c r="A823"/>
      <c r="J823"/>
      <c r="AA823"/>
      <c r="AB823"/>
      <c r="AC823"/>
      <c r="AD823"/>
      <c r="AE823"/>
      <c r="AF823"/>
      <c r="AG823"/>
      <c r="AH823"/>
      <c r="BQ823" s="2"/>
      <c r="BR823" s="3"/>
      <c r="BS823" s="3"/>
      <c r="BT823" s="3"/>
      <c r="BU823" s="3"/>
    </row>
    <row r="824" spans="1:73" ht="15">
      <c r="A824"/>
      <c r="J824"/>
      <c r="AA824"/>
      <c r="AB824"/>
      <c r="AC824"/>
      <c r="AD824"/>
      <c r="AE824"/>
      <c r="AF824"/>
      <c r="AG824"/>
      <c r="AH824"/>
      <c r="BQ824" s="2"/>
      <c r="BR824" s="3"/>
      <c r="BS824" s="3"/>
      <c r="BT824" s="3"/>
      <c r="BU824" s="3"/>
    </row>
    <row r="825" spans="1:73" ht="15">
      <c r="A825"/>
      <c r="J825"/>
      <c r="AA825"/>
      <c r="AB825"/>
      <c r="AC825"/>
      <c r="AD825"/>
      <c r="AE825"/>
      <c r="AF825"/>
      <c r="AG825"/>
      <c r="AH825"/>
      <c r="BQ825" s="2"/>
      <c r="BR825" s="3"/>
      <c r="BS825" s="3"/>
      <c r="BT825" s="3"/>
      <c r="BU825" s="3"/>
    </row>
    <row r="826" spans="1:73" ht="15">
      <c r="A826"/>
      <c r="J826"/>
      <c r="AA826"/>
      <c r="AB826"/>
      <c r="AC826"/>
      <c r="AD826"/>
      <c r="AE826"/>
      <c r="AF826"/>
      <c r="AG826"/>
      <c r="AH826"/>
      <c r="BQ826" s="2"/>
      <c r="BR826" s="3"/>
      <c r="BS826" s="3"/>
      <c r="BT826" s="3"/>
      <c r="BU826" s="3"/>
    </row>
    <row r="827" spans="1:73" ht="15">
      <c r="A827"/>
      <c r="J827"/>
      <c r="AA827"/>
      <c r="AB827"/>
      <c r="AC827"/>
      <c r="AD827"/>
      <c r="AE827"/>
      <c r="AF827"/>
      <c r="AG827"/>
      <c r="AH827"/>
      <c r="BQ827" s="2"/>
      <c r="BR827" s="3"/>
      <c r="BS827" s="3"/>
      <c r="BT827" s="3"/>
      <c r="BU827" s="3"/>
    </row>
    <row r="828" spans="1:73" ht="15">
      <c r="A828"/>
      <c r="J828"/>
      <c r="AA828"/>
      <c r="AB828"/>
      <c r="AC828"/>
      <c r="AD828"/>
      <c r="AE828"/>
      <c r="AF828"/>
      <c r="AG828"/>
      <c r="AH828"/>
      <c r="BQ828" s="2"/>
      <c r="BR828" s="3"/>
      <c r="BS828" s="3"/>
      <c r="BT828" s="3"/>
      <c r="BU828" s="3"/>
    </row>
    <row r="829" spans="1:73" ht="15">
      <c r="A829"/>
      <c r="J829"/>
      <c r="AA829"/>
      <c r="AB829"/>
      <c r="AC829"/>
      <c r="AD829"/>
      <c r="AE829"/>
      <c r="AF829"/>
      <c r="AG829"/>
      <c r="AH829"/>
      <c r="BQ829" s="2"/>
      <c r="BR829" s="3"/>
      <c r="BS829" s="3"/>
      <c r="BT829" s="3"/>
      <c r="BU829" s="3"/>
    </row>
    <row r="830" spans="1:73" ht="15">
      <c r="A830"/>
      <c r="J830"/>
      <c r="AA830"/>
      <c r="AB830"/>
      <c r="AC830"/>
      <c r="AD830"/>
      <c r="AE830"/>
      <c r="AF830"/>
      <c r="AG830"/>
      <c r="AH830"/>
      <c r="BQ830" s="2"/>
      <c r="BR830" s="3"/>
      <c r="BS830" s="3"/>
      <c r="BT830" s="3"/>
      <c r="BU830" s="3"/>
    </row>
    <row r="831" spans="1:73" ht="15">
      <c r="A831"/>
      <c r="J831"/>
      <c r="AA831"/>
      <c r="AB831"/>
      <c r="AC831"/>
      <c r="AD831"/>
      <c r="AE831"/>
      <c r="AF831"/>
      <c r="AG831"/>
      <c r="AH831"/>
      <c r="BQ831" s="2"/>
      <c r="BR831" s="3"/>
      <c r="BS831" s="3"/>
      <c r="BT831" s="3"/>
      <c r="BU831" s="3"/>
    </row>
    <row r="832" spans="1:73" ht="15">
      <c r="A832"/>
      <c r="J832"/>
      <c r="AA832"/>
      <c r="AB832"/>
      <c r="AC832"/>
      <c r="AD832"/>
      <c r="AE832"/>
      <c r="AF832"/>
      <c r="AG832"/>
      <c r="AH832"/>
      <c r="BQ832" s="2"/>
      <c r="BR832" s="3"/>
      <c r="BS832" s="3"/>
      <c r="BT832" s="3"/>
      <c r="BU832" s="3"/>
    </row>
    <row r="833" spans="1:73" ht="15">
      <c r="A833"/>
      <c r="J833"/>
      <c r="AA833"/>
      <c r="AB833"/>
      <c r="AC833"/>
      <c r="AD833"/>
      <c r="AE833"/>
      <c r="AF833"/>
      <c r="AG833"/>
      <c r="AH833"/>
      <c r="BQ833" s="2"/>
      <c r="BR833" s="3"/>
      <c r="BS833" s="3"/>
      <c r="BT833" s="3"/>
      <c r="BU833" s="3"/>
    </row>
    <row r="834" spans="1:73" ht="15">
      <c r="A834"/>
      <c r="J834"/>
      <c r="AA834"/>
      <c r="AB834"/>
      <c r="AC834"/>
      <c r="AD834"/>
      <c r="AE834"/>
      <c r="AF834"/>
      <c r="AG834"/>
      <c r="AH834"/>
      <c r="BQ834" s="2"/>
      <c r="BR834" s="3"/>
      <c r="BS834" s="3"/>
      <c r="BT834" s="3"/>
      <c r="BU834" s="3"/>
    </row>
    <row r="835" spans="1:73" ht="15">
      <c r="A835"/>
      <c r="J835"/>
      <c r="AA835"/>
      <c r="AB835"/>
      <c r="AC835"/>
      <c r="AD835"/>
      <c r="AE835"/>
      <c r="AF835"/>
      <c r="AG835"/>
      <c r="AH835"/>
      <c r="BQ835" s="2"/>
      <c r="BR835" s="3"/>
      <c r="BS835" s="3"/>
      <c r="BT835" s="3"/>
      <c r="BU835" s="3"/>
    </row>
    <row r="836" spans="1:73" ht="15">
      <c r="A836"/>
      <c r="J836"/>
      <c r="AA836"/>
      <c r="AB836"/>
      <c r="AC836"/>
      <c r="AD836"/>
      <c r="AE836"/>
      <c r="AF836"/>
      <c r="AG836"/>
      <c r="AH836"/>
      <c r="BQ836" s="2"/>
      <c r="BR836" s="3"/>
      <c r="BS836" s="3"/>
      <c r="BT836" s="3"/>
      <c r="BU836" s="3"/>
    </row>
    <row r="837" spans="1:73" ht="15">
      <c r="A837"/>
      <c r="J837"/>
      <c r="AA837"/>
      <c r="AB837"/>
      <c r="AC837"/>
      <c r="AD837"/>
      <c r="AE837"/>
      <c r="AF837"/>
      <c r="AG837"/>
      <c r="AH837"/>
      <c r="BQ837" s="2"/>
      <c r="BR837" s="3"/>
      <c r="BS837" s="3"/>
      <c r="BT837" s="3"/>
      <c r="BU837" s="3"/>
    </row>
    <row r="838" spans="1:73" ht="15">
      <c r="A838"/>
      <c r="J838"/>
      <c r="AA838"/>
      <c r="AB838"/>
      <c r="AC838"/>
      <c r="AD838"/>
      <c r="AE838"/>
      <c r="AF838"/>
      <c r="AG838"/>
      <c r="AH838"/>
      <c r="BQ838" s="2"/>
      <c r="BR838" s="3"/>
      <c r="BS838" s="3"/>
      <c r="BT838" s="3"/>
      <c r="BU838" s="3"/>
    </row>
    <row r="839" spans="1:73" ht="15">
      <c r="A839"/>
      <c r="J839"/>
      <c r="AA839"/>
      <c r="AB839"/>
      <c r="AC839"/>
      <c r="AD839"/>
      <c r="AE839"/>
      <c r="AF839"/>
      <c r="AG839"/>
      <c r="AH839"/>
      <c r="BQ839" s="2"/>
      <c r="BR839" s="3"/>
      <c r="BS839" s="3"/>
      <c r="BT839" s="3"/>
      <c r="BU839" s="3"/>
    </row>
    <row r="840" spans="1:73" ht="15">
      <c r="A840"/>
      <c r="J840"/>
      <c r="AA840"/>
      <c r="AB840"/>
      <c r="AC840"/>
      <c r="AD840"/>
      <c r="AE840"/>
      <c r="AF840"/>
      <c r="AG840"/>
      <c r="AH840"/>
      <c r="BQ840" s="2"/>
      <c r="BR840" s="3"/>
      <c r="BS840" s="3"/>
      <c r="BT840" s="3"/>
      <c r="BU840" s="3"/>
    </row>
    <row r="841" spans="1:73" ht="15">
      <c r="A841"/>
      <c r="J841"/>
      <c r="AA841"/>
      <c r="AB841"/>
      <c r="AC841"/>
      <c r="AD841"/>
      <c r="AE841"/>
      <c r="AF841"/>
      <c r="AG841"/>
      <c r="AH841"/>
      <c r="BQ841" s="2"/>
      <c r="BR841" s="3"/>
      <c r="BS841" s="3"/>
      <c r="BT841" s="3"/>
      <c r="BU841" s="3"/>
    </row>
    <row r="842" spans="1:73" ht="15">
      <c r="A842"/>
      <c r="J842"/>
      <c r="AA842"/>
      <c r="AB842"/>
      <c r="AC842"/>
      <c r="AD842"/>
      <c r="AE842"/>
      <c r="AF842"/>
      <c r="AG842"/>
      <c r="AH842"/>
      <c r="BQ842" s="2"/>
      <c r="BR842" s="3"/>
      <c r="BS842" s="3"/>
      <c r="BT842" s="3"/>
      <c r="BU842" s="3"/>
    </row>
    <row r="843" spans="1:73" ht="15">
      <c r="A843"/>
      <c r="J843"/>
      <c r="AA843"/>
      <c r="AB843"/>
      <c r="AC843"/>
      <c r="AD843"/>
      <c r="AE843"/>
      <c r="AF843"/>
      <c r="AG843"/>
      <c r="AH843"/>
      <c r="BQ843" s="2"/>
      <c r="BR843" s="3"/>
      <c r="BS843" s="3"/>
      <c r="BT843" s="3"/>
      <c r="BU843" s="3"/>
    </row>
    <row r="844" spans="1:73" ht="15">
      <c r="A844"/>
      <c r="J844"/>
      <c r="AA844"/>
      <c r="AB844"/>
      <c r="AC844"/>
      <c r="AD844"/>
      <c r="AE844"/>
      <c r="AF844"/>
      <c r="AG844"/>
      <c r="AH844"/>
      <c r="BQ844" s="2"/>
      <c r="BR844" s="3"/>
      <c r="BS844" s="3"/>
      <c r="BT844" s="3"/>
      <c r="BU844" s="3"/>
    </row>
    <row r="845" spans="1:73" ht="15">
      <c r="A845"/>
      <c r="J845"/>
      <c r="AA845"/>
      <c r="AB845"/>
      <c r="AC845"/>
      <c r="AD845"/>
      <c r="AE845"/>
      <c r="AF845"/>
      <c r="AG845"/>
      <c r="AH845"/>
      <c r="BQ845" s="2"/>
      <c r="BR845" s="3"/>
      <c r="BS845" s="3"/>
      <c r="BT845" s="3"/>
      <c r="BU845" s="3"/>
    </row>
    <row r="846" spans="1:73" ht="15">
      <c r="A846"/>
      <c r="J846"/>
      <c r="AA846"/>
      <c r="AB846"/>
      <c r="AC846"/>
      <c r="AD846"/>
      <c r="AE846"/>
      <c r="AF846"/>
      <c r="AG846"/>
      <c r="AH846"/>
      <c r="BQ846" s="2"/>
      <c r="BR846" s="3"/>
      <c r="BS846" s="3"/>
      <c r="BT846" s="3"/>
      <c r="BU846" s="3"/>
    </row>
    <row r="847" spans="1:73" ht="15">
      <c r="A847"/>
      <c r="J847"/>
      <c r="AA847"/>
      <c r="AB847"/>
      <c r="AC847"/>
      <c r="AD847"/>
      <c r="AE847"/>
      <c r="AF847"/>
      <c r="AG847"/>
      <c r="AH847"/>
      <c r="BQ847" s="2"/>
      <c r="BR847" s="3"/>
      <c r="BS847" s="3"/>
      <c r="BT847" s="3"/>
      <c r="BU847" s="3"/>
    </row>
    <row r="848" spans="1:73" ht="15">
      <c r="A848"/>
      <c r="J848"/>
      <c r="AA848"/>
      <c r="AB848"/>
      <c r="AC848"/>
      <c r="AD848"/>
      <c r="AE848"/>
      <c r="AF848"/>
      <c r="AG848"/>
      <c r="AH848"/>
      <c r="BQ848" s="2"/>
      <c r="BR848" s="3"/>
      <c r="BS848" s="3"/>
      <c r="BT848" s="3"/>
      <c r="BU848" s="3"/>
    </row>
    <row r="849" spans="1:73" ht="15">
      <c r="A849"/>
      <c r="J849"/>
      <c r="AA849"/>
      <c r="AB849"/>
      <c r="AC849"/>
      <c r="AD849"/>
      <c r="AE849"/>
      <c r="AF849"/>
      <c r="AG849"/>
      <c r="AH849"/>
      <c r="BQ849" s="2"/>
      <c r="BR849" s="3"/>
      <c r="BS849" s="3"/>
      <c r="BT849" s="3"/>
      <c r="BU849" s="3"/>
    </row>
    <row r="850" spans="1:73" ht="15">
      <c r="A850"/>
      <c r="J850"/>
      <c r="AA850"/>
      <c r="AB850"/>
      <c r="AC850"/>
      <c r="AD850"/>
      <c r="AE850"/>
      <c r="AF850"/>
      <c r="AG850"/>
      <c r="AH850"/>
      <c r="BQ850" s="2"/>
      <c r="BR850" s="3"/>
      <c r="BS850" s="3"/>
      <c r="BT850" s="3"/>
      <c r="BU850" s="3"/>
    </row>
    <row r="851" spans="1:73" ht="15">
      <c r="A851"/>
      <c r="J851"/>
      <c r="AA851"/>
      <c r="AB851"/>
      <c r="AC851"/>
      <c r="AD851"/>
      <c r="AE851"/>
      <c r="AF851"/>
      <c r="AG851"/>
      <c r="AH851"/>
      <c r="BQ851" s="2"/>
      <c r="BR851" s="3"/>
      <c r="BS851" s="3"/>
      <c r="BT851" s="3"/>
      <c r="BU851" s="3"/>
    </row>
    <row r="852" spans="1:73" ht="15">
      <c r="A852"/>
      <c r="J852"/>
      <c r="AA852"/>
      <c r="AB852"/>
      <c r="AC852"/>
      <c r="AD852"/>
      <c r="AE852"/>
      <c r="AF852"/>
      <c r="AG852"/>
      <c r="AH852"/>
      <c r="BQ852" s="2"/>
      <c r="BR852" s="3"/>
      <c r="BS852" s="3"/>
      <c r="BT852" s="3"/>
      <c r="BU852" s="3"/>
    </row>
    <row r="853" spans="1:73" ht="15">
      <c r="A853"/>
      <c r="J853"/>
      <c r="AA853"/>
      <c r="AB853"/>
      <c r="AC853"/>
      <c r="AD853"/>
      <c r="AE853"/>
      <c r="AF853"/>
      <c r="AG853"/>
      <c r="AH853"/>
      <c r="BQ853" s="2"/>
      <c r="BR853" s="3"/>
      <c r="BS853" s="3"/>
      <c r="BT853" s="3"/>
      <c r="BU853" s="3"/>
    </row>
    <row r="854" spans="1:73" ht="15">
      <c r="A854"/>
      <c r="J854"/>
      <c r="AA854"/>
      <c r="AB854"/>
      <c r="AC854"/>
      <c r="AD854"/>
      <c r="AE854"/>
      <c r="AF854"/>
      <c r="AG854"/>
      <c r="AH854"/>
      <c r="BQ854" s="2"/>
      <c r="BR854" s="3"/>
      <c r="BS854" s="3"/>
      <c r="BT854" s="3"/>
      <c r="BU854" s="3"/>
    </row>
    <row r="855" spans="1:73" ht="15">
      <c r="A855"/>
      <c r="J855"/>
      <c r="AA855"/>
      <c r="AB855"/>
      <c r="AC855"/>
      <c r="AD855"/>
      <c r="AE855"/>
      <c r="AF855"/>
      <c r="AG855"/>
      <c r="AH855"/>
      <c r="BQ855" s="2"/>
      <c r="BR855" s="3"/>
      <c r="BS855" s="3"/>
      <c r="BT855" s="3"/>
      <c r="BU855" s="3"/>
    </row>
    <row r="856" spans="1:73" ht="15">
      <c r="A856"/>
      <c r="J856"/>
      <c r="AA856"/>
      <c r="AB856"/>
      <c r="AC856"/>
      <c r="AD856"/>
      <c r="AE856"/>
      <c r="AF856"/>
      <c r="AG856"/>
      <c r="AH856"/>
      <c r="BQ856" s="2"/>
      <c r="BR856" s="3"/>
      <c r="BS856" s="3"/>
      <c r="BT856" s="3"/>
      <c r="BU856" s="3"/>
    </row>
    <row r="857" spans="1:73" ht="15">
      <c r="A857"/>
      <c r="J857"/>
      <c r="AA857"/>
      <c r="AB857"/>
      <c r="AC857"/>
      <c r="AD857"/>
      <c r="AE857"/>
      <c r="AF857"/>
      <c r="AG857"/>
      <c r="AH857"/>
      <c r="BQ857" s="2"/>
      <c r="BR857" s="3"/>
      <c r="BS857" s="3"/>
      <c r="BT857" s="3"/>
      <c r="BU857" s="3"/>
    </row>
    <row r="858" spans="1:73" ht="15">
      <c r="A858"/>
      <c r="J858"/>
      <c r="AA858"/>
      <c r="AB858"/>
      <c r="AC858"/>
      <c r="AD858"/>
      <c r="AE858"/>
      <c r="AF858"/>
      <c r="AG858"/>
      <c r="AH858"/>
      <c r="BQ858" s="2"/>
      <c r="BR858" s="3"/>
      <c r="BS858" s="3"/>
      <c r="BT858" s="3"/>
      <c r="BU858" s="3"/>
    </row>
    <row r="859" spans="1:73" ht="15">
      <c r="A859"/>
      <c r="J859"/>
      <c r="AA859"/>
      <c r="AB859"/>
      <c r="AC859"/>
      <c r="AD859"/>
      <c r="AE859"/>
      <c r="AF859"/>
      <c r="AG859"/>
      <c r="AH859"/>
      <c r="BQ859" s="2"/>
      <c r="BR859" s="3"/>
      <c r="BS859" s="3"/>
      <c r="BT859" s="3"/>
      <c r="BU859" s="3"/>
    </row>
    <row r="860" spans="1:73" ht="15">
      <c r="A860"/>
      <c r="J860"/>
      <c r="AA860"/>
      <c r="AB860"/>
      <c r="AC860"/>
      <c r="AD860"/>
      <c r="AE860"/>
      <c r="AF860"/>
      <c r="AG860"/>
      <c r="AH860"/>
      <c r="BQ860" s="2"/>
      <c r="BR860" s="3"/>
      <c r="BS860" s="3"/>
      <c r="BT860" s="3"/>
      <c r="BU860" s="3"/>
    </row>
    <row r="861" spans="1:73" ht="15">
      <c r="A861"/>
      <c r="J861"/>
      <c r="AA861"/>
      <c r="AB861"/>
      <c r="AC861"/>
      <c r="AD861"/>
      <c r="AE861"/>
      <c r="AF861"/>
      <c r="AG861"/>
      <c r="AH861"/>
      <c r="BQ861" s="2"/>
      <c r="BR861" s="3"/>
      <c r="BS861" s="3"/>
      <c r="BT861" s="3"/>
      <c r="BU861" s="3"/>
    </row>
    <row r="862" spans="1:73" ht="15">
      <c r="A862"/>
      <c r="J862"/>
      <c r="AA862"/>
      <c r="AB862"/>
      <c r="AC862"/>
      <c r="AD862"/>
      <c r="AE862"/>
      <c r="AF862"/>
      <c r="AG862"/>
      <c r="AH862"/>
      <c r="BQ862" s="2"/>
      <c r="BR862" s="3"/>
      <c r="BS862" s="3"/>
      <c r="BT862" s="3"/>
      <c r="BU862" s="3"/>
    </row>
    <row r="863" spans="1:73" ht="15">
      <c r="A863"/>
      <c r="J863"/>
      <c r="AA863"/>
      <c r="AB863"/>
      <c r="AC863"/>
      <c r="AD863"/>
      <c r="AE863"/>
      <c r="AF863"/>
      <c r="AG863"/>
      <c r="AH863"/>
      <c r="BQ863" s="2"/>
      <c r="BR863" s="3"/>
      <c r="BS863" s="3"/>
      <c r="BT863" s="3"/>
      <c r="BU863" s="3"/>
    </row>
    <row r="864" spans="1:73" ht="15">
      <c r="A864"/>
      <c r="J864"/>
      <c r="AA864"/>
      <c r="AB864"/>
      <c r="AC864"/>
      <c r="AD864"/>
      <c r="AE864"/>
      <c r="AF864"/>
      <c r="AG864"/>
      <c r="AH864"/>
      <c r="BQ864" s="2"/>
      <c r="BR864" s="3"/>
      <c r="BS864" s="3"/>
      <c r="BT864" s="3"/>
      <c r="BU864" s="3"/>
    </row>
    <row r="865" spans="1:73" ht="15">
      <c r="A865"/>
      <c r="J865"/>
      <c r="AA865"/>
      <c r="AB865"/>
      <c r="AC865"/>
      <c r="AD865"/>
      <c r="AE865"/>
      <c r="AF865"/>
      <c r="AG865"/>
      <c r="AH865"/>
      <c r="BQ865" s="2"/>
      <c r="BR865" s="3"/>
      <c r="BS865" s="3"/>
      <c r="BT865" s="3"/>
      <c r="BU865" s="3"/>
    </row>
    <row r="866" spans="1:73" ht="15">
      <c r="A866"/>
      <c r="J866"/>
      <c r="AA866"/>
      <c r="AB866"/>
      <c r="AC866"/>
      <c r="AD866"/>
      <c r="AE866"/>
      <c r="AF866"/>
      <c r="AG866"/>
      <c r="AH866"/>
      <c r="BQ866" s="2"/>
      <c r="BR866" s="3"/>
      <c r="BS866" s="3"/>
      <c r="BT866" s="3"/>
      <c r="BU866" s="3"/>
    </row>
    <row r="867" spans="1:73" ht="15">
      <c r="A867"/>
      <c r="J867"/>
      <c r="AA867"/>
      <c r="AB867"/>
      <c r="AC867"/>
      <c r="AD867"/>
      <c r="AE867"/>
      <c r="AF867"/>
      <c r="AG867"/>
      <c r="AH867"/>
      <c r="BQ867" s="2"/>
      <c r="BR867" s="3"/>
      <c r="BS867" s="3"/>
      <c r="BT867" s="3"/>
      <c r="BU867" s="3"/>
    </row>
    <row r="868" spans="1:73" ht="15">
      <c r="A868"/>
      <c r="J868"/>
      <c r="AA868"/>
      <c r="AB868"/>
      <c r="AC868"/>
      <c r="AD868"/>
      <c r="AE868"/>
      <c r="AF868"/>
      <c r="AG868"/>
      <c r="AH868"/>
      <c r="BQ868" s="2"/>
      <c r="BR868" s="3"/>
      <c r="BS868" s="3"/>
      <c r="BT868" s="3"/>
      <c r="BU868" s="3"/>
    </row>
    <row r="869" spans="1:73" ht="15">
      <c r="A869"/>
      <c r="J869"/>
      <c r="AA869"/>
      <c r="AB869"/>
      <c r="AC869"/>
      <c r="AD869"/>
      <c r="AE869"/>
      <c r="AF869"/>
      <c r="AG869"/>
      <c r="AH869"/>
      <c r="BQ869" s="2"/>
      <c r="BR869" s="3"/>
      <c r="BS869" s="3"/>
      <c r="BT869" s="3"/>
      <c r="BU869" s="3"/>
    </row>
    <row r="870" spans="1:73" ht="15">
      <c r="A870"/>
      <c r="J870"/>
      <c r="AA870"/>
      <c r="AB870"/>
      <c r="AC870"/>
      <c r="AD870"/>
      <c r="AE870"/>
      <c r="AF870"/>
      <c r="AG870"/>
      <c r="AH870"/>
      <c r="BQ870" s="2"/>
      <c r="BR870" s="3"/>
      <c r="BS870" s="3"/>
      <c r="BT870" s="3"/>
      <c r="BU870" s="3"/>
    </row>
    <row r="871" spans="1:73" ht="15">
      <c r="A871"/>
      <c r="J871"/>
      <c r="AA871"/>
      <c r="AB871"/>
      <c r="AC871"/>
      <c r="AD871"/>
      <c r="AE871"/>
      <c r="AF871"/>
      <c r="AG871"/>
      <c r="AH871"/>
      <c r="BQ871" s="2"/>
      <c r="BR871" s="3"/>
      <c r="BS871" s="3"/>
      <c r="BT871" s="3"/>
      <c r="BU871" s="3"/>
    </row>
    <row r="872" spans="1:73" ht="15">
      <c r="A872"/>
      <c r="J872"/>
      <c r="AA872"/>
      <c r="AB872"/>
      <c r="AC872"/>
      <c r="AD872"/>
      <c r="AE872"/>
      <c r="AF872"/>
      <c r="AG872"/>
      <c r="AH872"/>
      <c r="BQ872" s="2"/>
      <c r="BR872" s="3"/>
      <c r="BS872" s="3"/>
      <c r="BT872" s="3"/>
      <c r="BU872" s="3"/>
    </row>
    <row r="873" spans="1:73" ht="15">
      <c r="A873"/>
      <c r="J873"/>
      <c r="AA873"/>
      <c r="AB873"/>
      <c r="AC873"/>
      <c r="AD873"/>
      <c r="AE873"/>
      <c r="AF873"/>
      <c r="AG873"/>
      <c r="AH873"/>
      <c r="BQ873" s="2"/>
      <c r="BR873" s="3"/>
      <c r="BS873" s="3"/>
      <c r="BT873" s="3"/>
      <c r="BU873" s="3"/>
    </row>
    <row r="874" spans="1:73" ht="15">
      <c r="A874"/>
      <c r="J874"/>
      <c r="AA874"/>
      <c r="AB874"/>
      <c r="AC874"/>
      <c r="AD874"/>
      <c r="AE874"/>
      <c r="AF874"/>
      <c r="AG874"/>
      <c r="AH874"/>
      <c r="BQ874" s="2"/>
      <c r="BR874" s="3"/>
      <c r="BS874" s="3"/>
      <c r="BT874" s="3"/>
      <c r="BU874" s="3"/>
    </row>
    <row r="875" spans="1:73" ht="15">
      <c r="A875"/>
      <c r="J875"/>
      <c r="AA875"/>
      <c r="AB875"/>
      <c r="AC875"/>
      <c r="AD875"/>
      <c r="AE875"/>
      <c r="AF875"/>
      <c r="AG875"/>
      <c r="AH875"/>
      <c r="BQ875" s="2"/>
      <c r="BR875" s="3"/>
      <c r="BS875" s="3"/>
      <c r="BT875" s="3"/>
      <c r="BU875" s="3"/>
    </row>
    <row r="876" spans="1:73" ht="15">
      <c r="A876"/>
      <c r="J876"/>
      <c r="AA876"/>
      <c r="AB876"/>
      <c r="AC876"/>
      <c r="AD876"/>
      <c r="AE876"/>
      <c r="AF876"/>
      <c r="AG876"/>
      <c r="AH876"/>
      <c r="BQ876" s="2"/>
      <c r="BR876" s="3"/>
      <c r="BS876" s="3"/>
      <c r="BT876" s="3"/>
      <c r="BU876" s="3"/>
    </row>
    <row r="877" spans="1:73" ht="15">
      <c r="A877"/>
      <c r="J877"/>
      <c r="AA877"/>
      <c r="AB877"/>
      <c r="AC877"/>
      <c r="AD877"/>
      <c r="AE877"/>
      <c r="AF877"/>
      <c r="AG877"/>
      <c r="AH877"/>
      <c r="BQ877" s="2"/>
      <c r="BR877" s="3"/>
      <c r="BS877" s="3"/>
      <c r="BT877" s="3"/>
      <c r="BU877" s="3"/>
    </row>
    <row r="878" spans="1:73" ht="15">
      <c r="A878"/>
      <c r="J878"/>
      <c r="AA878"/>
      <c r="AB878"/>
      <c r="AC878"/>
      <c r="AD878"/>
      <c r="AE878"/>
      <c r="AF878"/>
      <c r="AG878"/>
      <c r="AH878"/>
      <c r="BQ878" s="2"/>
      <c r="BR878" s="3"/>
      <c r="BS878" s="3"/>
      <c r="BT878" s="3"/>
      <c r="BU878" s="3"/>
    </row>
    <row r="879" spans="1:73" ht="15">
      <c r="A879"/>
      <c r="J879"/>
      <c r="AA879"/>
      <c r="AB879"/>
      <c r="AC879"/>
      <c r="AD879"/>
      <c r="AE879"/>
      <c r="AF879"/>
      <c r="AG879"/>
      <c r="AH879"/>
      <c r="BQ879" s="2"/>
      <c r="BR879" s="3"/>
      <c r="BS879" s="3"/>
      <c r="BT879" s="3"/>
      <c r="BU879" s="3"/>
    </row>
    <row r="880" spans="1:73" ht="15">
      <c r="A880"/>
      <c r="J880"/>
      <c r="AA880"/>
      <c r="AB880"/>
      <c r="AC880"/>
      <c r="AD880"/>
      <c r="AE880"/>
      <c r="AF880"/>
      <c r="AG880"/>
      <c r="AH880"/>
      <c r="BQ880" s="2"/>
      <c r="BR880" s="3"/>
      <c r="BS880" s="3"/>
      <c r="BT880" s="3"/>
      <c r="BU880" s="3"/>
    </row>
    <row r="881" spans="1:73" ht="15">
      <c r="A881"/>
      <c r="J881"/>
      <c r="AA881"/>
      <c r="AB881"/>
      <c r="AC881"/>
      <c r="AD881"/>
      <c r="AE881"/>
      <c r="AF881"/>
      <c r="AG881"/>
      <c r="AH881"/>
      <c r="BQ881" s="2"/>
      <c r="BR881" s="3"/>
      <c r="BS881" s="3"/>
      <c r="BT881" s="3"/>
      <c r="BU881" s="3"/>
    </row>
    <row r="882" spans="1:73" ht="15">
      <c r="A882"/>
      <c r="J882"/>
      <c r="AA882"/>
      <c r="AB882"/>
      <c r="AC882"/>
      <c r="AD882"/>
      <c r="AE882"/>
      <c r="AF882"/>
      <c r="AG882"/>
      <c r="AH882"/>
      <c r="BQ882" s="2"/>
      <c r="BR882" s="3"/>
      <c r="BS882" s="3"/>
      <c r="BT882" s="3"/>
      <c r="BU882" s="3"/>
    </row>
    <row r="883" spans="1:73" ht="15">
      <c r="A883"/>
      <c r="J883"/>
      <c r="AA883"/>
      <c r="AB883"/>
      <c r="AC883"/>
      <c r="AD883"/>
      <c r="AE883"/>
      <c r="AF883"/>
      <c r="AG883"/>
      <c r="AH883"/>
      <c r="BQ883" s="2"/>
      <c r="BR883" s="3"/>
      <c r="BS883" s="3"/>
      <c r="BT883" s="3"/>
      <c r="BU883" s="3"/>
    </row>
    <row r="884" spans="1:73" ht="15">
      <c r="A884"/>
      <c r="J884"/>
      <c r="AA884"/>
      <c r="AB884"/>
      <c r="AC884"/>
      <c r="AD884"/>
      <c r="AE884"/>
      <c r="AF884"/>
      <c r="AG884"/>
      <c r="AH884"/>
      <c r="BQ884" s="2"/>
      <c r="BR884" s="3"/>
      <c r="BS884" s="3"/>
      <c r="BT884" s="3"/>
      <c r="BU884" s="3"/>
    </row>
    <row r="885" spans="1:73" ht="15">
      <c r="A885"/>
      <c r="J885"/>
      <c r="AA885"/>
      <c r="AB885"/>
      <c r="AC885"/>
      <c r="AD885"/>
      <c r="AE885"/>
      <c r="AF885"/>
      <c r="AG885"/>
      <c r="AH885"/>
      <c r="BQ885" s="2"/>
      <c r="BR885" s="3"/>
      <c r="BS885" s="3"/>
      <c r="BT885" s="3"/>
      <c r="BU885" s="3"/>
    </row>
    <row r="886" spans="1:73" ht="15">
      <c r="A886"/>
      <c r="J886"/>
      <c r="AA886"/>
      <c r="AB886"/>
      <c r="AC886"/>
      <c r="AD886"/>
      <c r="AE886"/>
      <c r="AF886"/>
      <c r="AG886"/>
      <c r="AH886"/>
      <c r="BQ886" s="2"/>
      <c r="BR886" s="3"/>
      <c r="BS886" s="3"/>
      <c r="BT886" s="3"/>
      <c r="BU886" s="3"/>
    </row>
    <row r="887" spans="1:73" ht="15">
      <c r="A887"/>
      <c r="J887"/>
      <c r="AA887"/>
      <c r="AB887"/>
      <c r="AC887"/>
      <c r="AD887"/>
      <c r="AE887"/>
      <c r="AF887"/>
      <c r="AG887"/>
      <c r="AH887"/>
      <c r="BQ887" s="2"/>
      <c r="BR887" s="3"/>
      <c r="BS887" s="3"/>
      <c r="BT887" s="3"/>
      <c r="BU887" s="3"/>
    </row>
    <row r="888" spans="1:73" ht="15">
      <c r="A888"/>
      <c r="J888"/>
      <c r="AA888"/>
      <c r="AB888"/>
      <c r="AC888"/>
      <c r="AD888"/>
      <c r="AE888"/>
      <c r="AF888"/>
      <c r="AG888"/>
      <c r="AH888"/>
      <c r="BQ888" s="2"/>
      <c r="BR888" s="3"/>
      <c r="BS888" s="3"/>
      <c r="BT888" s="3"/>
      <c r="BU888" s="3"/>
    </row>
    <row r="889" spans="1:73" ht="15">
      <c r="A889"/>
      <c r="J889"/>
      <c r="AA889"/>
      <c r="AB889"/>
      <c r="AC889"/>
      <c r="AD889"/>
      <c r="AE889"/>
      <c r="AF889"/>
      <c r="AG889"/>
      <c r="AH889"/>
      <c r="BQ889" s="2"/>
      <c r="BR889" s="3"/>
      <c r="BS889" s="3"/>
      <c r="BT889" s="3"/>
      <c r="BU889" s="3"/>
    </row>
    <row r="890" spans="1:73" ht="15">
      <c r="A890"/>
      <c r="J890"/>
      <c r="AA890"/>
      <c r="AB890"/>
      <c r="AC890"/>
      <c r="AD890"/>
      <c r="AE890"/>
      <c r="AF890"/>
      <c r="AG890"/>
      <c r="AH890"/>
      <c r="BQ890" s="2"/>
      <c r="BR890" s="3"/>
      <c r="BS890" s="3"/>
      <c r="BT890" s="3"/>
      <c r="BU890" s="3"/>
    </row>
    <row r="891" spans="1:73" ht="15">
      <c r="A891"/>
      <c r="J891"/>
      <c r="AA891"/>
      <c r="AB891"/>
      <c r="AC891"/>
      <c r="AD891"/>
      <c r="AE891"/>
      <c r="AF891"/>
      <c r="AG891"/>
      <c r="AH891"/>
      <c r="BQ891" s="2"/>
      <c r="BR891" s="3"/>
      <c r="BS891" s="3"/>
      <c r="BT891" s="3"/>
      <c r="BU891" s="3"/>
    </row>
    <row r="892" spans="1:73" ht="15">
      <c r="A892"/>
      <c r="J892"/>
      <c r="AA892"/>
      <c r="AB892"/>
      <c r="AC892"/>
      <c r="AD892"/>
      <c r="AE892"/>
      <c r="AF892"/>
      <c r="AG892"/>
      <c r="AH892"/>
      <c r="BQ892" s="2"/>
      <c r="BR892" s="3"/>
      <c r="BS892" s="3"/>
      <c r="BT892" s="3"/>
      <c r="BU892" s="3"/>
    </row>
    <row r="893" spans="1:73" ht="15">
      <c r="A893"/>
      <c r="J893"/>
      <c r="AA893"/>
      <c r="AB893"/>
      <c r="AC893"/>
      <c r="AD893"/>
      <c r="AE893"/>
      <c r="AF893"/>
      <c r="AG893"/>
      <c r="AH893"/>
      <c r="BQ893" s="2"/>
      <c r="BR893" s="3"/>
      <c r="BS893" s="3"/>
      <c r="BT893" s="3"/>
      <c r="BU893" s="3"/>
    </row>
    <row r="894" spans="1:73" ht="15">
      <c r="A894"/>
      <c r="J894"/>
      <c r="AA894"/>
      <c r="AB894"/>
      <c r="AC894"/>
      <c r="AD894"/>
      <c r="AE894"/>
      <c r="AF894"/>
      <c r="AG894"/>
      <c r="AH894"/>
      <c r="BQ894" s="2"/>
      <c r="BR894" s="3"/>
      <c r="BS894" s="3"/>
      <c r="BT894" s="3"/>
      <c r="BU894" s="3"/>
    </row>
    <row r="895" spans="1:73" ht="15">
      <c r="A895"/>
      <c r="J895"/>
      <c r="AA895"/>
      <c r="AB895"/>
      <c r="AC895"/>
      <c r="AD895"/>
      <c r="AE895"/>
      <c r="AF895"/>
      <c r="AG895"/>
      <c r="AH895"/>
      <c r="BQ895" s="2"/>
      <c r="BR895" s="3"/>
      <c r="BS895" s="3"/>
      <c r="BT895" s="3"/>
      <c r="BU895" s="3"/>
    </row>
    <row r="896" spans="1:73" ht="15">
      <c r="A896"/>
      <c r="J896"/>
      <c r="AA896"/>
      <c r="AB896"/>
      <c r="AC896"/>
      <c r="AD896"/>
      <c r="AE896"/>
      <c r="AF896"/>
      <c r="AG896"/>
      <c r="AH896"/>
      <c r="BQ896" s="2"/>
      <c r="BR896" s="3"/>
      <c r="BS896" s="3"/>
      <c r="BT896" s="3"/>
      <c r="BU896" s="3"/>
    </row>
    <row r="897" spans="1:73" ht="15">
      <c r="A897"/>
      <c r="J897"/>
      <c r="AA897"/>
      <c r="AB897"/>
      <c r="AC897"/>
      <c r="AD897"/>
      <c r="AE897"/>
      <c r="AF897"/>
      <c r="AG897"/>
      <c r="AH897"/>
      <c r="BQ897" s="2"/>
      <c r="BR897" s="3"/>
      <c r="BS897" s="3"/>
      <c r="BT897" s="3"/>
      <c r="BU897" s="3"/>
    </row>
    <row r="898" spans="1:73" ht="15">
      <c r="A898"/>
      <c r="J898"/>
      <c r="AA898"/>
      <c r="AB898"/>
      <c r="AC898"/>
      <c r="AD898"/>
      <c r="AE898"/>
      <c r="AF898"/>
      <c r="AG898"/>
      <c r="AH898"/>
      <c r="BQ898" s="2"/>
      <c r="BR898" s="3"/>
      <c r="BS898" s="3"/>
      <c r="BT898" s="3"/>
      <c r="BU898" s="3"/>
    </row>
    <row r="899" spans="1:73" ht="15">
      <c r="A899"/>
      <c r="J899"/>
      <c r="AA899"/>
      <c r="AB899"/>
      <c r="AC899"/>
      <c r="AD899"/>
      <c r="AE899"/>
      <c r="AF899"/>
      <c r="AG899"/>
      <c r="AH899"/>
      <c r="BQ899" s="2"/>
      <c r="BR899" s="3"/>
      <c r="BS899" s="3"/>
      <c r="BT899" s="3"/>
      <c r="BU899" s="3"/>
    </row>
    <row r="900" spans="1:73" ht="15">
      <c r="A900"/>
      <c r="J900"/>
      <c r="AA900"/>
      <c r="AB900"/>
      <c r="AC900"/>
      <c r="AD900"/>
      <c r="AE900"/>
      <c r="AF900"/>
      <c r="AG900"/>
      <c r="AH900"/>
      <c r="BQ900" s="2"/>
      <c r="BR900" s="3"/>
      <c r="BS900" s="3"/>
      <c r="BT900" s="3"/>
      <c r="BU900" s="3"/>
    </row>
    <row r="901" spans="1:73" ht="15">
      <c r="A901"/>
      <c r="J901"/>
      <c r="AA901"/>
      <c r="AB901"/>
      <c r="AC901"/>
      <c r="AD901"/>
      <c r="AE901"/>
      <c r="AF901"/>
      <c r="AG901"/>
      <c r="AH901"/>
      <c r="BQ901" s="2"/>
      <c r="BR901" s="3"/>
      <c r="BS901" s="3"/>
      <c r="BT901" s="3"/>
      <c r="BU901" s="3"/>
    </row>
    <row r="902" spans="1:73" ht="15">
      <c r="A902"/>
      <c r="J902"/>
      <c r="AA902"/>
      <c r="AB902"/>
      <c r="AC902"/>
      <c r="AD902"/>
      <c r="AE902"/>
      <c r="AF902"/>
      <c r="AG902"/>
      <c r="AH902"/>
      <c r="BQ902" s="2"/>
      <c r="BR902" s="3"/>
      <c r="BS902" s="3"/>
      <c r="BT902" s="3"/>
      <c r="BU902" s="3"/>
    </row>
    <row r="903" spans="1:73" ht="15">
      <c r="A903"/>
      <c r="J903"/>
      <c r="AA903"/>
      <c r="AB903"/>
      <c r="AC903"/>
      <c r="AD903"/>
      <c r="AE903"/>
      <c r="AF903"/>
      <c r="AG903"/>
      <c r="AH903"/>
      <c r="BQ903" s="2"/>
      <c r="BR903" s="3"/>
      <c r="BS903" s="3"/>
      <c r="BT903" s="3"/>
      <c r="BU903" s="3"/>
    </row>
    <row r="904" spans="1:73" ht="15">
      <c r="A904"/>
      <c r="J904"/>
      <c r="AA904"/>
      <c r="AB904"/>
      <c r="AC904"/>
      <c r="AD904"/>
      <c r="AE904"/>
      <c r="AF904"/>
      <c r="AG904"/>
      <c r="AH904"/>
      <c r="BQ904" s="2"/>
      <c r="BR904" s="3"/>
      <c r="BS904" s="3"/>
      <c r="BT904" s="3"/>
      <c r="BU904" s="3"/>
    </row>
    <row r="905" spans="1:73" ht="15">
      <c r="A905"/>
      <c r="J905"/>
      <c r="AA905"/>
      <c r="AB905"/>
      <c r="AC905"/>
      <c r="AD905"/>
      <c r="AE905"/>
      <c r="AF905"/>
      <c r="AG905"/>
      <c r="AH905"/>
      <c r="BQ905" s="2"/>
      <c r="BR905" s="3"/>
      <c r="BS905" s="3"/>
      <c r="BT905" s="3"/>
      <c r="BU905" s="3"/>
    </row>
    <row r="906" spans="1:73" ht="15">
      <c r="A906"/>
      <c r="J906"/>
      <c r="AA906"/>
      <c r="AB906"/>
      <c r="AC906"/>
      <c r="AD906"/>
      <c r="AE906"/>
      <c r="AF906"/>
      <c r="AG906"/>
      <c r="AH906"/>
      <c r="BQ906" s="2"/>
      <c r="BR906" s="3"/>
      <c r="BS906" s="3"/>
      <c r="BT906" s="3"/>
      <c r="BU906" s="3"/>
    </row>
    <row r="907" spans="1:73" ht="15">
      <c r="A907"/>
      <c r="J907"/>
      <c r="AA907"/>
      <c r="AB907"/>
      <c r="AC907"/>
      <c r="AD907"/>
      <c r="AE907"/>
      <c r="AF907"/>
      <c r="AG907"/>
      <c r="AH907"/>
      <c r="BQ907" s="2"/>
      <c r="BR907" s="3"/>
      <c r="BS907" s="3"/>
      <c r="BT907" s="3"/>
      <c r="BU907" s="3"/>
    </row>
    <row r="908" spans="1:73" ht="15">
      <c r="A908"/>
      <c r="J908"/>
      <c r="AA908"/>
      <c r="AB908"/>
      <c r="AC908"/>
      <c r="AD908"/>
      <c r="AE908"/>
      <c r="AF908"/>
      <c r="AG908"/>
      <c r="AH908"/>
      <c r="BQ908" s="2"/>
      <c r="BR908" s="3"/>
      <c r="BS908" s="3"/>
      <c r="BT908" s="3"/>
      <c r="BU908" s="3"/>
    </row>
    <row r="909" spans="1:73" ht="15">
      <c r="A909"/>
      <c r="J909"/>
      <c r="AA909"/>
      <c r="AB909"/>
      <c r="AC909"/>
      <c r="AD909"/>
      <c r="AE909"/>
      <c r="AF909"/>
      <c r="AG909"/>
      <c r="AH909"/>
      <c r="BQ909" s="2"/>
      <c r="BR909" s="3"/>
      <c r="BS909" s="3"/>
      <c r="BT909" s="3"/>
      <c r="BU909" s="3"/>
    </row>
    <row r="910" spans="1:73" ht="15">
      <c r="A910"/>
      <c r="J910"/>
      <c r="AA910"/>
      <c r="AB910"/>
      <c r="AC910"/>
      <c r="AD910"/>
      <c r="AE910"/>
      <c r="AF910"/>
      <c r="AG910"/>
      <c r="AH910"/>
      <c r="BQ910" s="2"/>
      <c r="BR910" s="3"/>
      <c r="BS910" s="3"/>
      <c r="BT910" s="3"/>
      <c r="BU910" s="3"/>
    </row>
    <row r="911" spans="1:73" ht="15">
      <c r="A911"/>
      <c r="J911"/>
      <c r="AA911"/>
      <c r="AB911"/>
      <c r="AC911"/>
      <c r="AD911"/>
      <c r="AE911"/>
      <c r="AF911"/>
      <c r="AG911"/>
      <c r="AH911"/>
      <c r="BQ911" s="2"/>
      <c r="BR911" s="3"/>
      <c r="BS911" s="3"/>
      <c r="BT911" s="3"/>
      <c r="BU911" s="3"/>
    </row>
    <row r="912" spans="1:73" ht="15">
      <c r="A912"/>
      <c r="J912"/>
      <c r="AA912"/>
      <c r="AB912"/>
      <c r="AC912"/>
      <c r="AD912"/>
      <c r="AE912"/>
      <c r="AF912"/>
      <c r="AG912"/>
      <c r="AH912"/>
      <c r="BQ912" s="2"/>
      <c r="BR912" s="3"/>
      <c r="BS912" s="3"/>
      <c r="BT912" s="3"/>
      <c r="BU912" s="3"/>
    </row>
    <row r="913" spans="1:73" ht="15">
      <c r="A913"/>
      <c r="J913"/>
      <c r="AA913"/>
      <c r="AB913"/>
      <c r="AC913"/>
      <c r="AD913"/>
      <c r="AE913"/>
      <c r="AF913"/>
      <c r="AG913"/>
      <c r="AH913"/>
      <c r="BQ913" s="2"/>
      <c r="BR913" s="3"/>
      <c r="BS913" s="3"/>
      <c r="BT913" s="3"/>
      <c r="BU913" s="3"/>
    </row>
    <row r="914" spans="1:73" ht="15">
      <c r="A914"/>
      <c r="J914"/>
      <c r="AA914"/>
      <c r="AB914"/>
      <c r="AC914"/>
      <c r="AD914"/>
      <c r="AE914"/>
      <c r="AF914"/>
      <c r="AG914"/>
      <c r="AH914"/>
      <c r="BQ914" s="2"/>
      <c r="BR914" s="3"/>
      <c r="BS914" s="3"/>
      <c r="BT914" s="3"/>
      <c r="BU914" s="3"/>
    </row>
    <row r="915" spans="1:73" ht="15">
      <c r="A915"/>
      <c r="J915"/>
      <c r="AA915"/>
      <c r="AB915"/>
      <c r="AC915"/>
      <c r="AD915"/>
      <c r="AE915"/>
      <c r="AF915"/>
      <c r="AG915"/>
      <c r="AH915"/>
      <c r="BQ915" s="2"/>
      <c r="BR915" s="3"/>
      <c r="BS915" s="3"/>
      <c r="BT915" s="3"/>
      <c r="BU915" s="3"/>
    </row>
    <row r="916" spans="1:73" ht="15">
      <c r="A916"/>
      <c r="J916"/>
      <c r="AA916"/>
      <c r="AB916"/>
      <c r="AC916"/>
      <c r="AD916"/>
      <c r="AE916"/>
      <c r="AF916"/>
      <c r="AG916"/>
      <c r="AH916"/>
      <c r="BQ916" s="2"/>
      <c r="BR916" s="3"/>
      <c r="BS916" s="3"/>
      <c r="BT916" s="3"/>
      <c r="BU916" s="3"/>
    </row>
    <row r="917" spans="1:73" ht="15">
      <c r="A917"/>
      <c r="J917"/>
      <c r="AA917"/>
      <c r="AB917"/>
      <c r="AC917"/>
      <c r="AD917"/>
      <c r="AE917"/>
      <c r="AF917"/>
      <c r="AG917"/>
      <c r="AH917"/>
      <c r="BQ917" s="2"/>
      <c r="BR917" s="3"/>
      <c r="BS917" s="3"/>
      <c r="BT917" s="3"/>
      <c r="BU917" s="3"/>
    </row>
    <row r="918" spans="1:73" ht="15">
      <c r="A918"/>
      <c r="J918"/>
      <c r="AA918"/>
      <c r="AB918"/>
      <c r="AC918"/>
      <c r="AD918"/>
      <c r="AE918"/>
      <c r="AF918"/>
      <c r="AG918"/>
      <c r="AH918"/>
      <c r="BQ918" s="2"/>
      <c r="BR918" s="3"/>
      <c r="BS918" s="3"/>
      <c r="BT918" s="3"/>
      <c r="BU918" s="3"/>
    </row>
    <row r="919" spans="1:73" ht="15">
      <c r="A919"/>
      <c r="J919"/>
      <c r="AA919"/>
      <c r="AB919"/>
      <c r="AC919"/>
      <c r="AD919"/>
      <c r="AE919"/>
      <c r="AF919"/>
      <c r="AG919"/>
      <c r="AH919"/>
      <c r="BQ919" s="2"/>
      <c r="BR919" s="3"/>
      <c r="BS919" s="3"/>
      <c r="BT919" s="3"/>
      <c r="BU919" s="3"/>
    </row>
    <row r="920" spans="1:73" ht="15">
      <c r="A920"/>
      <c r="J920"/>
      <c r="AA920"/>
      <c r="AB920"/>
      <c r="AC920"/>
      <c r="AD920"/>
      <c r="AE920"/>
      <c r="AF920"/>
      <c r="AG920"/>
      <c r="AH920"/>
      <c r="BQ920" s="2"/>
      <c r="BR920" s="3"/>
      <c r="BS920" s="3"/>
      <c r="BT920" s="3"/>
      <c r="BU920" s="3"/>
    </row>
    <row r="921" spans="1:73" ht="15">
      <c r="A921"/>
      <c r="J921"/>
      <c r="AA921"/>
      <c r="AB921"/>
      <c r="AC921"/>
      <c r="AD921"/>
      <c r="AE921"/>
      <c r="AF921"/>
      <c r="AG921"/>
      <c r="AH921"/>
      <c r="BQ921" s="2"/>
      <c r="BR921" s="3"/>
      <c r="BS921" s="3"/>
      <c r="BT921" s="3"/>
      <c r="BU921" s="3"/>
    </row>
    <row r="922" spans="1:73" ht="15">
      <c r="A922"/>
      <c r="J922"/>
      <c r="AA922"/>
      <c r="AB922"/>
      <c r="AC922"/>
      <c r="AD922"/>
      <c r="AE922"/>
      <c r="AF922"/>
      <c r="AG922"/>
      <c r="AH922"/>
      <c r="BQ922" s="2"/>
      <c r="BR922" s="3"/>
      <c r="BS922" s="3"/>
      <c r="BT922" s="3"/>
      <c r="BU922" s="3"/>
    </row>
    <row r="923" spans="1:73" ht="15">
      <c r="A923"/>
      <c r="J923"/>
      <c r="AA923"/>
      <c r="AB923"/>
      <c r="AC923"/>
      <c r="AD923"/>
      <c r="AE923"/>
      <c r="AF923"/>
      <c r="AG923"/>
      <c r="AH923"/>
      <c r="BQ923" s="2"/>
      <c r="BR923" s="3"/>
      <c r="BS923" s="3"/>
      <c r="BT923" s="3"/>
      <c r="BU923" s="3"/>
    </row>
    <row r="924" spans="1:73" ht="15">
      <c r="A924"/>
      <c r="J924"/>
      <c r="AA924"/>
      <c r="AB924"/>
      <c r="AC924"/>
      <c r="AD924"/>
      <c r="AE924"/>
      <c r="AF924"/>
      <c r="AG924"/>
      <c r="AH924"/>
      <c r="BQ924" s="2"/>
      <c r="BR924" s="3"/>
      <c r="BS924" s="3"/>
      <c r="BT924" s="3"/>
      <c r="BU924" s="3"/>
    </row>
    <row r="925" spans="1:73" ht="15">
      <c r="A925"/>
      <c r="J925"/>
      <c r="AA925"/>
      <c r="AB925"/>
      <c r="AC925"/>
      <c r="AD925"/>
      <c r="AE925"/>
      <c r="AF925"/>
      <c r="AG925"/>
      <c r="AH925"/>
      <c r="BQ925" s="2"/>
      <c r="BR925" s="3"/>
      <c r="BS925" s="3"/>
      <c r="BT925" s="3"/>
      <c r="BU925" s="3"/>
    </row>
    <row r="926" spans="1:73" ht="15">
      <c r="A926"/>
      <c r="J926"/>
      <c r="AA926"/>
      <c r="AB926"/>
      <c r="AC926"/>
      <c r="AD926"/>
      <c r="AE926"/>
      <c r="AF926"/>
      <c r="AG926"/>
      <c r="AH926"/>
      <c r="BQ926" s="2"/>
      <c r="BR926" s="3"/>
      <c r="BS926" s="3"/>
      <c r="BT926" s="3"/>
      <c r="BU926" s="3"/>
    </row>
    <row r="927" spans="1:73" ht="15">
      <c r="A927"/>
      <c r="J927"/>
      <c r="AA927"/>
      <c r="AB927"/>
      <c r="AC927"/>
      <c r="AD927"/>
      <c r="AE927"/>
      <c r="AF927"/>
      <c r="AG927"/>
      <c r="AH927"/>
      <c r="BQ927" s="2"/>
      <c r="BR927" s="3"/>
      <c r="BS927" s="3"/>
      <c r="BT927" s="3"/>
      <c r="BU927" s="3"/>
    </row>
    <row r="928" spans="1:73" ht="15">
      <c r="A928"/>
      <c r="J928"/>
      <c r="AA928"/>
      <c r="AB928"/>
      <c r="AC928"/>
      <c r="AD928"/>
      <c r="AE928"/>
      <c r="AF928"/>
      <c r="AG928"/>
      <c r="AH928"/>
      <c r="BQ928" s="2"/>
      <c r="BR928" s="3"/>
      <c r="BS928" s="3"/>
      <c r="BT928" s="3"/>
      <c r="BU928" s="3"/>
    </row>
    <row r="929" spans="1:73" ht="15">
      <c r="A929"/>
      <c r="J929"/>
      <c r="AA929"/>
      <c r="AB929"/>
      <c r="AC929"/>
      <c r="AD929"/>
      <c r="AE929"/>
      <c r="AF929"/>
      <c r="AG929"/>
      <c r="AH929"/>
      <c r="BQ929" s="2"/>
      <c r="BR929" s="3"/>
      <c r="BS929" s="3"/>
      <c r="BT929" s="3"/>
      <c r="BU929" s="3"/>
    </row>
    <row r="930" spans="1:73" ht="15">
      <c r="A930"/>
      <c r="J930"/>
      <c r="AA930"/>
      <c r="AB930"/>
      <c r="AC930"/>
      <c r="AD930"/>
      <c r="AE930"/>
      <c r="AF930"/>
      <c r="AG930"/>
      <c r="AH930"/>
      <c r="BQ930" s="2"/>
      <c r="BR930" s="3"/>
      <c r="BS930" s="3"/>
      <c r="BT930" s="3"/>
      <c r="BU930" s="3"/>
    </row>
    <row r="931" spans="1:73" ht="15">
      <c r="A931"/>
      <c r="J931"/>
      <c r="AA931"/>
      <c r="AB931"/>
      <c r="AC931"/>
      <c r="AD931"/>
      <c r="AE931"/>
      <c r="AF931"/>
      <c r="AG931"/>
      <c r="AH931"/>
      <c r="BQ931" s="2"/>
      <c r="BR931" s="3"/>
      <c r="BS931" s="3"/>
      <c r="BT931" s="3"/>
      <c r="BU931" s="3"/>
    </row>
    <row r="932" spans="1:73" ht="15">
      <c r="A932"/>
      <c r="J932"/>
      <c r="AA932"/>
      <c r="AB932"/>
      <c r="AC932"/>
      <c r="AD932"/>
      <c r="AE932"/>
      <c r="AF932"/>
      <c r="AG932"/>
      <c r="AH932"/>
      <c r="BQ932" s="2"/>
      <c r="BR932" s="3"/>
      <c r="BS932" s="3"/>
      <c r="BT932" s="3"/>
      <c r="BU932" s="3"/>
    </row>
    <row r="933" spans="1:73" ht="15">
      <c r="A933"/>
      <c r="J933"/>
      <c r="AA933"/>
      <c r="AB933"/>
      <c r="AC933"/>
      <c r="AD933"/>
      <c r="AE933"/>
      <c r="AF933"/>
      <c r="AG933"/>
      <c r="AH933"/>
      <c r="BQ933" s="2"/>
      <c r="BR933" s="3"/>
      <c r="BS933" s="3"/>
      <c r="BT933" s="3"/>
      <c r="BU933" s="3"/>
    </row>
    <row r="934" spans="1:73" ht="15">
      <c r="A934"/>
      <c r="J934"/>
      <c r="AA934"/>
      <c r="AB934"/>
      <c r="AC934"/>
      <c r="AD934"/>
      <c r="AE934"/>
      <c r="AF934"/>
      <c r="AG934"/>
      <c r="AH934"/>
      <c r="BQ934" s="2"/>
      <c r="BR934" s="3"/>
      <c r="BS934" s="3"/>
      <c r="BT934" s="3"/>
      <c r="BU934" s="3"/>
    </row>
    <row r="935" spans="1:73" ht="15">
      <c r="A935"/>
      <c r="J935"/>
      <c r="AA935"/>
      <c r="AB935"/>
      <c r="AC935"/>
      <c r="AD935"/>
      <c r="AE935"/>
      <c r="AF935"/>
      <c r="AG935"/>
      <c r="AH935"/>
      <c r="BQ935" s="2"/>
      <c r="BR935" s="3"/>
      <c r="BS935" s="3"/>
      <c r="BT935" s="3"/>
      <c r="BU935" s="3"/>
    </row>
    <row r="936" spans="1:73" ht="15">
      <c r="A936"/>
      <c r="J936"/>
      <c r="AA936"/>
      <c r="AB936"/>
      <c r="AC936"/>
      <c r="AD936"/>
      <c r="AE936"/>
      <c r="AF936"/>
      <c r="AG936"/>
      <c r="AH936"/>
      <c r="BQ936" s="2"/>
      <c r="BR936" s="3"/>
      <c r="BS936" s="3"/>
      <c r="BT936" s="3"/>
      <c r="BU936" s="3"/>
    </row>
    <row r="937" spans="1:73" ht="15">
      <c r="A937"/>
      <c r="J937"/>
      <c r="AA937"/>
      <c r="AB937"/>
      <c r="AC937"/>
      <c r="AD937"/>
      <c r="AE937"/>
      <c r="AF937"/>
      <c r="AG937"/>
      <c r="AH937"/>
      <c r="BQ937" s="2"/>
      <c r="BR937" s="3"/>
      <c r="BS937" s="3"/>
      <c r="BT937" s="3"/>
      <c r="BU937" s="3"/>
    </row>
    <row r="938" spans="1:73" ht="15">
      <c r="A938"/>
      <c r="J938"/>
      <c r="AA938"/>
      <c r="AB938"/>
      <c r="AC938"/>
      <c r="AD938"/>
      <c r="AE938"/>
      <c r="AF938"/>
      <c r="AG938"/>
      <c r="AH938"/>
      <c r="BQ938" s="2"/>
      <c r="BR938" s="3"/>
      <c r="BS938" s="3"/>
      <c r="BT938" s="3"/>
      <c r="BU938" s="3"/>
    </row>
    <row r="939" spans="1:73" ht="15">
      <c r="A939"/>
      <c r="J939"/>
      <c r="AA939"/>
      <c r="AB939"/>
      <c r="AC939"/>
      <c r="AD939"/>
      <c r="AE939"/>
      <c r="AF939"/>
      <c r="AG939"/>
      <c r="AH939"/>
      <c r="BQ939" s="2"/>
      <c r="BR939" s="3"/>
      <c r="BS939" s="3"/>
      <c r="BT939" s="3"/>
      <c r="BU939" s="3"/>
    </row>
    <row r="940" spans="1:73" ht="15">
      <c r="A940"/>
      <c r="J940"/>
      <c r="AA940"/>
      <c r="AB940"/>
      <c r="AC940"/>
      <c r="AD940"/>
      <c r="AE940"/>
      <c r="AF940"/>
      <c r="AG940"/>
      <c r="AH940"/>
      <c r="BQ940" s="2"/>
      <c r="BR940" s="3"/>
      <c r="BS940" s="3"/>
      <c r="BT940" s="3"/>
      <c r="BU940" s="3"/>
    </row>
    <row r="941" spans="1:73" ht="15">
      <c r="A941"/>
      <c r="J941"/>
      <c r="AA941"/>
      <c r="AB941"/>
      <c r="AC941"/>
      <c r="AD941"/>
      <c r="AE941"/>
      <c r="AF941"/>
      <c r="AG941"/>
      <c r="AH941"/>
      <c r="BQ941" s="2"/>
      <c r="BR941" s="3"/>
      <c r="BS941" s="3"/>
      <c r="BT941" s="3"/>
      <c r="BU941" s="3"/>
    </row>
    <row r="942" spans="1:73" ht="15">
      <c r="A942"/>
      <c r="J942"/>
      <c r="AA942"/>
      <c r="AB942"/>
      <c r="AC942"/>
      <c r="AD942"/>
      <c r="AE942"/>
      <c r="AF942"/>
      <c r="AG942"/>
      <c r="AH942"/>
      <c r="BQ942" s="2"/>
      <c r="BR942" s="3"/>
      <c r="BS942" s="3"/>
      <c r="BT942" s="3"/>
      <c r="BU942" s="3"/>
    </row>
    <row r="943" spans="1:73" ht="15">
      <c r="A943"/>
      <c r="J943"/>
      <c r="AA943"/>
      <c r="AB943"/>
      <c r="AC943"/>
      <c r="AD943"/>
      <c r="AE943"/>
      <c r="AF943"/>
      <c r="AG943"/>
      <c r="AH943"/>
      <c r="BQ943" s="2"/>
      <c r="BR943" s="3"/>
      <c r="BS943" s="3"/>
      <c r="BT943" s="3"/>
      <c r="BU943" s="3"/>
    </row>
    <row r="944" spans="1:73" ht="15">
      <c r="A944"/>
      <c r="J944"/>
      <c r="AA944"/>
      <c r="AB944"/>
      <c r="AC944"/>
      <c r="AD944"/>
      <c r="AE944"/>
      <c r="AF944"/>
      <c r="AG944"/>
      <c r="AH944"/>
      <c r="BQ944" s="2"/>
      <c r="BR944" s="3"/>
      <c r="BS944" s="3"/>
      <c r="BT944" s="3"/>
      <c r="BU944" s="3"/>
    </row>
    <row r="945" spans="1:73" ht="15">
      <c r="A945"/>
      <c r="J945"/>
      <c r="AA945"/>
      <c r="AB945"/>
      <c r="AC945"/>
      <c r="AD945"/>
      <c r="AE945"/>
      <c r="AF945"/>
      <c r="AG945"/>
      <c r="AH945"/>
      <c r="BQ945" s="2"/>
      <c r="BR945" s="3"/>
      <c r="BS945" s="3"/>
      <c r="BT945" s="3"/>
      <c r="BU945" s="3"/>
    </row>
    <row r="946" spans="1:73" ht="15">
      <c r="A946"/>
      <c r="J946"/>
      <c r="AA946"/>
      <c r="AB946"/>
      <c r="AC946"/>
      <c r="AD946"/>
      <c r="AE946"/>
      <c r="AF946"/>
      <c r="AG946"/>
      <c r="AH946"/>
      <c r="BQ946" s="2"/>
      <c r="BR946" s="3"/>
      <c r="BS946" s="3"/>
      <c r="BT946" s="3"/>
      <c r="BU946" s="3"/>
    </row>
    <row r="947" spans="1:73" ht="15">
      <c r="A947"/>
      <c r="J947"/>
      <c r="AA947"/>
      <c r="AB947"/>
      <c r="AC947"/>
      <c r="AD947"/>
      <c r="AE947"/>
      <c r="AF947"/>
      <c r="AG947"/>
      <c r="AH947"/>
      <c r="BQ947" s="2"/>
      <c r="BR947" s="3"/>
      <c r="BS947" s="3"/>
      <c r="BT947" s="3"/>
      <c r="BU947" s="3"/>
    </row>
    <row r="948" spans="1:73" ht="15">
      <c r="A948"/>
      <c r="J948"/>
      <c r="AA948"/>
      <c r="AB948"/>
      <c r="AC948"/>
      <c r="AD948"/>
      <c r="AE948"/>
      <c r="AF948"/>
      <c r="AG948"/>
      <c r="AH948"/>
      <c r="BQ948" s="2"/>
      <c r="BR948" s="3"/>
      <c r="BS948" s="3"/>
      <c r="BT948" s="3"/>
      <c r="BU948" s="3"/>
    </row>
    <row r="949" spans="1:73" ht="15">
      <c r="A949"/>
      <c r="J949"/>
      <c r="AA949"/>
      <c r="AB949"/>
      <c r="AC949"/>
      <c r="AD949"/>
      <c r="AE949"/>
      <c r="AF949"/>
      <c r="AG949"/>
      <c r="AH949"/>
      <c r="BQ949" s="2"/>
      <c r="BR949" s="3"/>
      <c r="BS949" s="3"/>
      <c r="BT949" s="3"/>
      <c r="BU949" s="3"/>
    </row>
    <row r="950" spans="1:73" ht="15">
      <c r="A950"/>
      <c r="J950"/>
      <c r="AA950"/>
      <c r="AB950"/>
      <c r="AC950"/>
      <c r="AD950"/>
      <c r="AE950"/>
      <c r="AF950"/>
      <c r="AG950"/>
      <c r="AH950"/>
      <c r="BQ950" s="2"/>
      <c r="BR950" s="3"/>
      <c r="BS950" s="3"/>
      <c r="BT950" s="3"/>
      <c r="BU950" s="3"/>
    </row>
    <row r="951" spans="1:73" ht="15">
      <c r="A951"/>
      <c r="J951"/>
      <c r="AA951"/>
      <c r="AB951"/>
      <c r="AC951"/>
      <c r="AD951"/>
      <c r="AE951"/>
      <c r="AF951"/>
      <c r="AG951"/>
      <c r="AH951"/>
      <c r="BQ951" s="2"/>
      <c r="BR951" s="3"/>
      <c r="BS951" s="3"/>
      <c r="BT951" s="3"/>
      <c r="BU951" s="3"/>
    </row>
    <row r="952" spans="1:73" ht="15">
      <c r="A952"/>
      <c r="J952"/>
      <c r="AA952"/>
      <c r="AB952"/>
      <c r="AC952"/>
      <c r="AD952"/>
      <c r="AE952"/>
      <c r="AF952"/>
      <c r="AG952"/>
      <c r="AH952"/>
      <c r="BQ952" s="2"/>
      <c r="BR952" s="3"/>
      <c r="BS952" s="3"/>
      <c r="BT952" s="3"/>
      <c r="BU952" s="3"/>
    </row>
    <row r="953" spans="1:73" ht="15">
      <c r="A953"/>
      <c r="J953"/>
      <c r="AA953"/>
      <c r="AB953"/>
      <c r="AC953"/>
      <c r="AD953"/>
      <c r="AE953"/>
      <c r="AF953"/>
      <c r="AG953"/>
      <c r="AH953"/>
      <c r="BQ953" s="2"/>
      <c r="BR953" s="3"/>
      <c r="BS953" s="3"/>
      <c r="BT953" s="3"/>
      <c r="BU953" s="3"/>
    </row>
    <row r="954" spans="1:73" ht="15">
      <c r="A954"/>
      <c r="J954"/>
      <c r="AA954"/>
      <c r="AB954"/>
      <c r="AC954"/>
      <c r="AD954"/>
      <c r="AE954"/>
      <c r="AF954"/>
      <c r="AG954"/>
      <c r="AH954"/>
      <c r="BQ954" s="2"/>
      <c r="BR954" s="3"/>
      <c r="BS954" s="3"/>
      <c r="BT954" s="3"/>
      <c r="BU954" s="3"/>
    </row>
    <row r="955" spans="1:73" ht="15">
      <c r="A955"/>
      <c r="J955"/>
      <c r="AA955"/>
      <c r="AB955"/>
      <c r="AC955"/>
      <c r="AD955"/>
      <c r="AE955"/>
      <c r="AF955"/>
      <c r="AG955"/>
      <c r="AH955"/>
      <c r="BQ955" s="2"/>
      <c r="BR955" s="3"/>
      <c r="BS955" s="3"/>
      <c r="BT955" s="3"/>
      <c r="BU955" s="3"/>
    </row>
    <row r="956" spans="1:73" ht="15">
      <c r="A956"/>
      <c r="J956"/>
      <c r="AA956"/>
      <c r="AB956"/>
      <c r="AC956"/>
      <c r="AD956"/>
      <c r="AE956"/>
      <c r="AF956"/>
      <c r="AG956"/>
      <c r="AH956"/>
      <c r="BQ956" s="2"/>
      <c r="BR956" s="3"/>
      <c r="BS956" s="3"/>
      <c r="BT956" s="3"/>
      <c r="BU956" s="3"/>
    </row>
    <row r="957" spans="1:73" ht="15">
      <c r="A957"/>
      <c r="J957"/>
      <c r="AA957"/>
      <c r="AB957"/>
      <c r="AC957"/>
      <c r="AD957"/>
      <c r="AE957"/>
      <c r="AF957"/>
      <c r="AG957"/>
      <c r="AH957"/>
      <c r="BQ957" s="2"/>
      <c r="BR957" s="3"/>
      <c r="BS957" s="3"/>
      <c r="BT957" s="3"/>
      <c r="BU957" s="3"/>
    </row>
    <row r="958" spans="1:73" ht="15">
      <c r="A958"/>
      <c r="J958"/>
      <c r="AA958"/>
      <c r="AB958"/>
      <c r="AC958"/>
      <c r="AD958"/>
      <c r="AE958"/>
      <c r="AF958"/>
      <c r="AG958"/>
      <c r="AH958"/>
      <c r="BQ958" s="2"/>
      <c r="BR958" s="3"/>
      <c r="BS958" s="3"/>
      <c r="BT958" s="3"/>
      <c r="BU958" s="3"/>
    </row>
    <row r="959" spans="1:73" ht="15">
      <c r="A959"/>
      <c r="J959"/>
      <c r="AA959"/>
      <c r="AB959"/>
      <c r="AC959"/>
      <c r="AD959"/>
      <c r="AE959"/>
      <c r="AF959"/>
      <c r="AG959"/>
      <c r="AH959"/>
      <c r="BQ959" s="2"/>
      <c r="BR959" s="3"/>
      <c r="BS959" s="3"/>
      <c r="BT959" s="3"/>
      <c r="BU959" s="3"/>
    </row>
    <row r="960" spans="1:73" ht="15">
      <c r="A960"/>
      <c r="J960"/>
      <c r="AA960"/>
      <c r="AB960"/>
      <c r="AC960"/>
      <c r="AD960"/>
      <c r="AE960"/>
      <c r="AF960"/>
      <c r="AG960"/>
      <c r="AH960"/>
      <c r="BQ960" s="2"/>
      <c r="BR960" s="3"/>
      <c r="BS960" s="3"/>
      <c r="BT960" s="3"/>
      <c r="BU960" s="3"/>
    </row>
    <row r="961" spans="1:73" ht="15">
      <c r="A961"/>
      <c r="J961"/>
      <c r="AA961"/>
      <c r="AB961"/>
      <c r="AC961"/>
      <c r="AD961"/>
      <c r="AE961"/>
      <c r="AF961"/>
      <c r="AG961"/>
      <c r="AH961"/>
      <c r="BQ961" s="2"/>
      <c r="BR961" s="3"/>
      <c r="BS961" s="3"/>
      <c r="BT961" s="3"/>
      <c r="BU961" s="3"/>
    </row>
    <row r="962" spans="1:73" ht="15">
      <c r="A962"/>
      <c r="J962"/>
      <c r="AA962"/>
      <c r="AB962"/>
      <c r="AC962"/>
      <c r="AD962"/>
      <c r="AE962"/>
      <c r="AF962"/>
      <c r="AG962"/>
      <c r="AH962"/>
      <c r="BQ962" s="2"/>
      <c r="BR962" s="3"/>
      <c r="BS962" s="3"/>
      <c r="BT962" s="3"/>
      <c r="BU962" s="3"/>
    </row>
    <row r="963" spans="1:73" ht="15">
      <c r="A963"/>
      <c r="J963"/>
      <c r="AA963"/>
      <c r="AB963"/>
      <c r="AC963"/>
      <c r="AD963"/>
      <c r="AE963"/>
      <c r="AF963"/>
      <c r="AG963"/>
      <c r="AH963"/>
      <c r="BQ963" s="2"/>
      <c r="BR963" s="3"/>
      <c r="BS963" s="3"/>
      <c r="BT963" s="3"/>
      <c r="BU963" s="3"/>
    </row>
    <row r="964" spans="1:73" ht="15">
      <c r="A964"/>
      <c r="J964"/>
      <c r="AA964"/>
      <c r="AB964"/>
      <c r="AC964"/>
      <c r="AD964"/>
      <c r="AE964"/>
      <c r="AF964"/>
      <c r="AG964"/>
      <c r="AH964"/>
      <c r="BQ964" s="2"/>
      <c r="BR964" s="3"/>
      <c r="BS964" s="3"/>
      <c r="BT964" s="3"/>
      <c r="BU964" s="3"/>
    </row>
    <row r="965" spans="1:73" ht="15">
      <c r="A965"/>
      <c r="J965"/>
      <c r="AA965"/>
      <c r="AB965"/>
      <c r="AC965"/>
      <c r="AD965"/>
      <c r="AE965"/>
      <c r="AF965"/>
      <c r="AG965"/>
      <c r="AH965"/>
      <c r="BQ965" s="2"/>
      <c r="BR965" s="3"/>
      <c r="BS965" s="3"/>
      <c r="BT965" s="3"/>
      <c r="BU965" s="3"/>
    </row>
    <row r="966" spans="1:73" ht="15">
      <c r="A966"/>
      <c r="J966"/>
      <c r="AA966"/>
      <c r="AB966"/>
      <c r="AC966"/>
      <c r="AD966"/>
      <c r="AE966"/>
      <c r="AF966"/>
      <c r="AG966"/>
      <c r="AH966"/>
      <c r="BQ966" s="2"/>
      <c r="BR966" s="3"/>
      <c r="BS966" s="3"/>
      <c r="BT966" s="3"/>
      <c r="BU966" s="3"/>
    </row>
    <row r="967" spans="1:73" ht="15">
      <c r="A967"/>
      <c r="J967"/>
      <c r="AA967"/>
      <c r="AB967"/>
      <c r="AC967"/>
      <c r="AD967"/>
      <c r="AE967"/>
      <c r="AF967"/>
      <c r="AG967"/>
      <c r="AH967"/>
      <c r="BQ967" s="2"/>
      <c r="BR967" s="3"/>
      <c r="BS967" s="3"/>
      <c r="BT967" s="3"/>
      <c r="BU967" s="3"/>
    </row>
    <row r="968" spans="1:73" ht="15">
      <c r="A968"/>
      <c r="J968"/>
      <c r="AA968"/>
      <c r="AB968"/>
      <c r="AC968"/>
      <c r="AD968"/>
      <c r="AE968"/>
      <c r="AF968"/>
      <c r="AG968"/>
      <c r="AH968"/>
      <c r="BQ968" s="2"/>
      <c r="BR968" s="3"/>
      <c r="BS968" s="3"/>
      <c r="BT968" s="3"/>
      <c r="BU968" s="3"/>
    </row>
    <row r="969" spans="1:73" ht="15">
      <c r="A969"/>
      <c r="J969"/>
      <c r="AA969"/>
      <c r="AB969"/>
      <c r="AC969"/>
      <c r="AD969"/>
      <c r="AE969"/>
      <c r="AF969"/>
      <c r="AG969"/>
      <c r="AH969"/>
      <c r="BQ969" s="2"/>
      <c r="BR969" s="3"/>
      <c r="BS969" s="3"/>
      <c r="BT969" s="3"/>
      <c r="BU969" s="3"/>
    </row>
    <row r="970" spans="1:73" ht="15">
      <c r="A970"/>
      <c r="J970"/>
      <c r="AA970"/>
      <c r="AB970"/>
      <c r="AC970"/>
      <c r="AD970"/>
      <c r="AE970"/>
      <c r="AF970"/>
      <c r="AG970"/>
      <c r="AH970"/>
      <c r="BQ970" s="2"/>
      <c r="BR970" s="3"/>
      <c r="BS970" s="3"/>
      <c r="BT970" s="3"/>
      <c r="BU970" s="3"/>
    </row>
    <row r="971" spans="1:73" ht="15">
      <c r="A971"/>
      <c r="J971"/>
      <c r="AA971"/>
      <c r="AB971"/>
      <c r="AC971"/>
      <c r="AD971"/>
      <c r="AE971"/>
      <c r="AF971"/>
      <c r="AG971"/>
      <c r="AH971"/>
      <c r="BQ971" s="2"/>
      <c r="BR971" s="3"/>
      <c r="BS971" s="3"/>
      <c r="BT971" s="3"/>
      <c r="BU971" s="3"/>
    </row>
    <row r="972" spans="1:73" ht="15">
      <c r="A972"/>
      <c r="J972"/>
      <c r="AA972"/>
      <c r="AB972"/>
      <c r="AC972"/>
      <c r="AD972"/>
      <c r="AE972"/>
      <c r="AF972"/>
      <c r="AG972"/>
      <c r="AH972"/>
      <c r="BQ972" s="2"/>
      <c r="BR972" s="3"/>
      <c r="BS972" s="3"/>
      <c r="BT972" s="3"/>
      <c r="BU972" s="3"/>
    </row>
    <row r="973" spans="1:73" ht="15">
      <c r="A973"/>
      <c r="J973"/>
      <c r="AA973"/>
      <c r="AB973"/>
      <c r="AC973"/>
      <c r="AD973"/>
      <c r="AE973"/>
      <c r="AF973"/>
      <c r="AG973"/>
      <c r="AH973"/>
      <c r="BQ973" s="2"/>
      <c r="BR973" s="3"/>
      <c r="BS973" s="3"/>
      <c r="BT973" s="3"/>
      <c r="BU973" s="3"/>
    </row>
    <row r="974" spans="1:73" ht="15">
      <c r="A974"/>
      <c r="J974"/>
      <c r="AA974"/>
      <c r="AB974"/>
      <c r="AC974"/>
      <c r="AD974"/>
      <c r="AE974"/>
      <c r="AF974"/>
      <c r="AG974"/>
      <c r="AH974"/>
      <c r="BQ974" s="2"/>
      <c r="BR974" s="3"/>
      <c r="BS974" s="3"/>
      <c r="BT974" s="3"/>
      <c r="BU974" s="3"/>
    </row>
    <row r="975" spans="1:73" ht="15">
      <c r="A975"/>
      <c r="J975"/>
      <c r="AA975"/>
      <c r="AB975"/>
      <c r="AC975"/>
      <c r="AD975"/>
      <c r="AE975"/>
      <c r="AF975"/>
      <c r="AG975"/>
      <c r="AH975"/>
      <c r="BQ975" s="2"/>
      <c r="BR975" s="3"/>
      <c r="BS975" s="3"/>
      <c r="BT975" s="3"/>
      <c r="BU975" s="3"/>
    </row>
    <row r="976" spans="1:73" ht="15">
      <c r="A976"/>
      <c r="J976"/>
      <c r="AA976"/>
      <c r="AB976"/>
      <c r="AC976"/>
      <c r="AD976"/>
      <c r="AE976"/>
      <c r="AF976"/>
      <c r="AG976"/>
      <c r="AH976"/>
      <c r="BQ976" s="2"/>
      <c r="BR976" s="3"/>
      <c r="BS976" s="3"/>
      <c r="BT976" s="3"/>
      <c r="BU976" s="3"/>
    </row>
    <row r="977" spans="1:73" ht="15">
      <c r="A977"/>
      <c r="J977"/>
      <c r="AA977"/>
      <c r="AB977"/>
      <c r="AC977"/>
      <c r="AD977"/>
      <c r="AE977"/>
      <c r="AF977"/>
      <c r="AG977"/>
      <c r="AH977"/>
      <c r="BQ977" s="2"/>
      <c r="BR977" s="3"/>
      <c r="BS977" s="3"/>
      <c r="BT977" s="3"/>
      <c r="BU977" s="3"/>
    </row>
    <row r="978" spans="1:73" ht="15">
      <c r="A978"/>
      <c r="J978"/>
      <c r="AA978"/>
      <c r="AB978"/>
      <c r="AC978"/>
      <c r="AD978"/>
      <c r="AE978"/>
      <c r="AF978"/>
      <c r="AG978"/>
      <c r="AH978"/>
      <c r="BQ978" s="2"/>
      <c r="BR978" s="3"/>
      <c r="BS978" s="3"/>
      <c r="BT978" s="3"/>
      <c r="BU978" s="3"/>
    </row>
    <row r="979" spans="1:73" ht="15">
      <c r="A979"/>
      <c r="J979"/>
      <c r="AA979"/>
      <c r="AB979"/>
      <c r="AC979"/>
      <c r="AD979"/>
      <c r="AE979"/>
      <c r="AF979"/>
      <c r="AG979"/>
      <c r="AH979"/>
      <c r="BQ979" s="2"/>
      <c r="BR979" s="3"/>
      <c r="BS979" s="3"/>
      <c r="BT979" s="3"/>
      <c r="BU979" s="3"/>
    </row>
    <row r="980" spans="1:73" ht="15">
      <c r="A980"/>
      <c r="J980"/>
      <c r="AA980"/>
      <c r="AB980"/>
      <c r="AC980"/>
      <c r="AD980"/>
      <c r="AE980"/>
      <c r="AF980"/>
      <c r="AG980"/>
      <c r="AH980"/>
      <c r="BQ980" s="2"/>
      <c r="BR980" s="3"/>
      <c r="BS980" s="3"/>
      <c r="BT980" s="3"/>
      <c r="BU980" s="3"/>
    </row>
    <row r="981" spans="1:73" ht="15">
      <c r="A981"/>
      <c r="J981"/>
      <c r="AA981"/>
      <c r="AB981"/>
      <c r="AC981"/>
      <c r="AD981"/>
      <c r="AE981"/>
      <c r="AF981"/>
      <c r="AG981"/>
      <c r="AH981"/>
      <c r="BQ981" s="2"/>
      <c r="BR981" s="3"/>
      <c r="BS981" s="3"/>
      <c r="BT981" s="3"/>
      <c r="BU981" s="3"/>
    </row>
    <row r="982" spans="1:73" ht="15">
      <c r="A982"/>
      <c r="J982"/>
      <c r="AA982"/>
      <c r="AB982"/>
      <c r="AC982"/>
      <c r="AD982"/>
      <c r="AE982"/>
      <c r="AF982"/>
      <c r="AG982"/>
      <c r="AH982"/>
      <c r="BQ982" s="2"/>
      <c r="BR982" s="3"/>
      <c r="BS982" s="3"/>
      <c r="BT982" s="3"/>
      <c r="BU982" s="3"/>
    </row>
    <row r="983" spans="1:73" ht="15">
      <c r="A983"/>
      <c r="J983"/>
      <c r="AA983"/>
      <c r="AB983"/>
      <c r="AC983"/>
      <c r="AD983"/>
      <c r="AE983"/>
      <c r="AF983"/>
      <c r="AG983"/>
      <c r="AH983"/>
      <c r="BQ983" s="2"/>
      <c r="BR983" s="3"/>
      <c r="BS983" s="3"/>
      <c r="BT983" s="3"/>
      <c r="BU983" s="3"/>
    </row>
    <row r="984" spans="1:73" ht="15">
      <c r="A984"/>
      <c r="J984"/>
      <c r="AA984"/>
      <c r="AB984"/>
      <c r="AC984"/>
      <c r="AD984"/>
      <c r="AE984"/>
      <c r="AF984"/>
      <c r="AG984"/>
      <c r="AH984"/>
      <c r="BQ984" s="2"/>
      <c r="BR984" s="3"/>
      <c r="BS984" s="3"/>
      <c r="BT984" s="3"/>
      <c r="BU984" s="3"/>
    </row>
    <row r="985" spans="1:73" ht="15">
      <c r="A985"/>
      <c r="J985"/>
      <c r="AA985"/>
      <c r="AB985"/>
      <c r="AC985"/>
      <c r="AD985"/>
      <c r="AE985"/>
      <c r="AF985"/>
      <c r="AG985"/>
      <c r="AH985"/>
      <c r="BQ985" s="2"/>
      <c r="BR985" s="3"/>
      <c r="BS985" s="3"/>
      <c r="BT985" s="3"/>
      <c r="BU985" s="3"/>
    </row>
    <row r="986" spans="1:73" ht="15">
      <c r="A986"/>
      <c r="J986"/>
      <c r="AA986"/>
      <c r="AB986"/>
      <c r="AC986"/>
      <c r="AD986"/>
      <c r="AE986"/>
      <c r="AF986"/>
      <c r="AG986"/>
      <c r="AH986"/>
      <c r="BQ986" s="2"/>
      <c r="BR986" s="3"/>
      <c r="BS986" s="3"/>
      <c r="BT986" s="3"/>
      <c r="BU986" s="3"/>
    </row>
    <row r="987" spans="1:73" ht="15">
      <c r="A987"/>
      <c r="J987"/>
      <c r="AA987"/>
      <c r="AB987"/>
      <c r="AC987"/>
      <c r="AD987"/>
      <c r="AE987"/>
      <c r="AF987"/>
      <c r="AG987"/>
      <c r="AH987"/>
      <c r="BQ987" s="2"/>
      <c r="BR987" s="3"/>
      <c r="BS987" s="3"/>
      <c r="BT987" s="3"/>
      <c r="BU987" s="3"/>
    </row>
    <row r="988" spans="1:73" ht="15">
      <c r="A988"/>
      <c r="J988"/>
      <c r="AA988"/>
      <c r="AB988"/>
      <c r="AC988"/>
      <c r="AD988"/>
      <c r="AE988"/>
      <c r="AF988"/>
      <c r="AG988"/>
      <c r="AH988"/>
      <c r="BQ988" s="2"/>
      <c r="BR988" s="3"/>
      <c r="BS988" s="3"/>
      <c r="BT988" s="3"/>
      <c r="BU988" s="3"/>
    </row>
    <row r="989" spans="1:73" ht="15">
      <c r="A989"/>
      <c r="J989"/>
      <c r="AA989"/>
      <c r="AB989"/>
      <c r="AC989"/>
      <c r="AD989"/>
      <c r="AE989"/>
      <c r="AF989"/>
      <c r="AG989"/>
      <c r="AH989"/>
      <c r="BQ989" s="2"/>
      <c r="BR989" s="3"/>
      <c r="BS989" s="3"/>
      <c r="BT989" s="3"/>
      <c r="BU989" s="3"/>
    </row>
    <row r="990" spans="1:73" ht="15">
      <c r="A990"/>
      <c r="J990"/>
      <c r="AA990"/>
      <c r="AB990"/>
      <c r="AC990"/>
      <c r="AD990"/>
      <c r="AE990"/>
      <c r="AF990"/>
      <c r="AG990"/>
      <c r="AH990"/>
      <c r="BQ990" s="2"/>
      <c r="BR990" s="3"/>
      <c r="BS990" s="3"/>
      <c r="BT990" s="3"/>
      <c r="BU990" s="3"/>
    </row>
    <row r="991" spans="1:73" ht="15">
      <c r="A991"/>
      <c r="J991"/>
      <c r="AA991"/>
      <c r="AB991"/>
      <c r="AC991"/>
      <c r="AD991"/>
      <c r="AE991"/>
      <c r="AF991"/>
      <c r="AG991"/>
      <c r="AH991"/>
      <c r="BQ991" s="2"/>
      <c r="BR991" s="3"/>
      <c r="BS991" s="3"/>
      <c r="BT991" s="3"/>
      <c r="BU991" s="3"/>
    </row>
    <row r="992" spans="1:73" ht="15">
      <c r="A992"/>
      <c r="J992"/>
      <c r="AA992"/>
      <c r="AB992"/>
      <c r="AC992"/>
      <c r="AD992"/>
      <c r="AE992"/>
      <c r="AF992"/>
      <c r="AG992"/>
      <c r="AH992"/>
      <c r="BQ992" s="2"/>
      <c r="BR992" s="3"/>
      <c r="BS992" s="3"/>
      <c r="BT992" s="3"/>
      <c r="BU992" s="3"/>
    </row>
    <row r="993" spans="1:73" ht="15">
      <c r="A993"/>
      <c r="J993"/>
      <c r="AA993"/>
      <c r="AB993"/>
      <c r="AC993"/>
      <c r="AD993"/>
      <c r="AE993"/>
      <c r="AF993"/>
      <c r="AG993"/>
      <c r="AH993"/>
      <c r="BQ993" s="2"/>
      <c r="BR993" s="3"/>
      <c r="BS993" s="3"/>
      <c r="BT993" s="3"/>
      <c r="BU993" s="3"/>
    </row>
    <row r="994" spans="1:73" ht="15">
      <c r="A994"/>
      <c r="J994"/>
      <c r="AA994"/>
      <c r="AB994"/>
      <c r="AC994"/>
      <c r="AD994"/>
      <c r="AE994"/>
      <c r="AF994"/>
      <c r="AG994"/>
      <c r="AH994"/>
      <c r="BQ994" s="2"/>
      <c r="BR994" s="3"/>
      <c r="BS994" s="3"/>
      <c r="BT994" s="3"/>
      <c r="BU994" s="3"/>
    </row>
    <row r="995" spans="1:73" ht="15">
      <c r="A995"/>
      <c r="J995"/>
      <c r="AA995"/>
      <c r="AB995"/>
      <c r="AC995"/>
      <c r="AD995"/>
      <c r="AE995"/>
      <c r="AF995"/>
      <c r="AG995"/>
      <c r="AH995"/>
      <c r="BQ995" s="2"/>
      <c r="BR995" s="3"/>
      <c r="BS995" s="3"/>
      <c r="BT995" s="3"/>
      <c r="BU995" s="3"/>
    </row>
    <row r="996" spans="1:73" ht="15">
      <c r="A996"/>
      <c r="J996"/>
      <c r="AA996"/>
      <c r="AB996"/>
      <c r="AC996"/>
      <c r="AD996"/>
      <c r="AE996"/>
      <c r="AF996"/>
      <c r="AG996"/>
      <c r="AH996"/>
      <c r="BQ996" s="2"/>
      <c r="BR996" s="3"/>
      <c r="BS996" s="3"/>
      <c r="BT996" s="3"/>
      <c r="BU996" s="3"/>
    </row>
    <row r="997" spans="1:73" ht="15">
      <c r="A997"/>
      <c r="J997"/>
      <c r="AA997"/>
      <c r="AB997"/>
      <c r="AC997"/>
      <c r="AD997"/>
      <c r="AE997"/>
      <c r="AF997"/>
      <c r="AG997"/>
      <c r="AH997"/>
      <c r="BQ997" s="2"/>
      <c r="BR997" s="3"/>
      <c r="BS997" s="3"/>
      <c r="BT997" s="3"/>
      <c r="BU997" s="3"/>
    </row>
    <row r="998" spans="1:73" ht="15">
      <c r="A998"/>
      <c r="J998"/>
      <c r="AA998"/>
      <c r="AB998"/>
      <c r="AC998"/>
      <c r="AD998"/>
      <c r="AE998"/>
      <c r="AF998"/>
      <c r="AG998"/>
      <c r="AH998"/>
      <c r="BQ998" s="2"/>
      <c r="BR998" s="3"/>
      <c r="BS998" s="3"/>
      <c r="BT998" s="3"/>
      <c r="BU998" s="3"/>
    </row>
    <row r="999" spans="1:73" ht="15">
      <c r="A999"/>
      <c r="J999"/>
      <c r="AA999"/>
      <c r="AB999"/>
      <c r="AC999"/>
      <c r="AD999"/>
      <c r="AE999"/>
      <c r="AF999"/>
      <c r="AG999"/>
      <c r="AH999"/>
      <c r="BQ999" s="2"/>
      <c r="BR999" s="3"/>
      <c r="BS999" s="3"/>
      <c r="BT999" s="3"/>
      <c r="BU999" s="3"/>
    </row>
    <row r="1000" spans="1:73" ht="15">
      <c r="A1000"/>
      <c r="J1000"/>
      <c r="AA1000"/>
      <c r="AB1000"/>
      <c r="AC1000"/>
      <c r="AD1000"/>
      <c r="AE1000"/>
      <c r="AF1000"/>
      <c r="AG1000"/>
      <c r="AH1000"/>
      <c r="BQ1000" s="2"/>
      <c r="BR1000" s="3"/>
      <c r="BS1000" s="3"/>
      <c r="BT1000" s="3"/>
      <c r="BU1000" s="3"/>
    </row>
    <row r="1001" spans="1:73" ht="15">
      <c r="A1001"/>
      <c r="J1001"/>
      <c r="AA1001"/>
      <c r="AB1001"/>
      <c r="AC1001"/>
      <c r="AD1001"/>
      <c r="AE1001"/>
      <c r="AF1001"/>
      <c r="AG1001"/>
      <c r="AH1001"/>
      <c r="BQ1001" s="2"/>
      <c r="BR1001" s="3"/>
      <c r="BS1001" s="3"/>
      <c r="BT1001" s="3"/>
      <c r="BU1001" s="3"/>
    </row>
    <row r="1002" spans="1:73" ht="15">
      <c r="A1002"/>
      <c r="J1002"/>
      <c r="AA1002"/>
      <c r="AB1002"/>
      <c r="AC1002"/>
      <c r="AD1002"/>
      <c r="AE1002"/>
      <c r="AF1002"/>
      <c r="AG1002"/>
      <c r="AH1002"/>
      <c r="BQ1002" s="2"/>
      <c r="BR1002" s="3"/>
      <c r="BS1002" s="3"/>
      <c r="BT1002" s="3"/>
      <c r="BU1002" s="3"/>
    </row>
    <row r="1003" spans="1:73" ht="15">
      <c r="A1003"/>
      <c r="J1003"/>
      <c r="AA1003"/>
      <c r="AB1003"/>
      <c r="AC1003"/>
      <c r="AD1003"/>
      <c r="AE1003"/>
      <c r="AF1003"/>
      <c r="AG1003"/>
      <c r="AH1003"/>
      <c r="BQ1003" s="2"/>
      <c r="BR1003" s="3"/>
      <c r="BS1003" s="3"/>
      <c r="BT1003" s="3"/>
      <c r="BU1003" s="3"/>
    </row>
    <row r="1004" spans="1:73" ht="15">
      <c r="A1004"/>
      <c r="J1004"/>
      <c r="AA1004"/>
      <c r="AB1004"/>
      <c r="AC1004"/>
      <c r="AD1004"/>
      <c r="AE1004"/>
      <c r="AF1004"/>
      <c r="AG1004"/>
      <c r="AH1004"/>
      <c r="BQ1004" s="2"/>
      <c r="BR1004" s="3"/>
      <c r="BS1004" s="3"/>
      <c r="BT1004" s="3"/>
      <c r="BU1004" s="3"/>
    </row>
    <row r="1005" spans="1:73" ht="15">
      <c r="A1005"/>
      <c r="J1005"/>
      <c r="AA1005"/>
      <c r="AB1005"/>
      <c r="AC1005"/>
      <c r="AD1005"/>
      <c r="AE1005"/>
      <c r="AF1005"/>
      <c r="AG1005"/>
      <c r="AH1005"/>
      <c r="BQ1005" s="2"/>
      <c r="BR1005" s="3"/>
      <c r="BS1005" s="3"/>
      <c r="BT1005" s="3"/>
      <c r="BU1005" s="3"/>
    </row>
    <row r="1006" spans="1:73" ht="15">
      <c r="A1006"/>
      <c r="J1006"/>
      <c r="AA1006"/>
      <c r="AB1006"/>
      <c r="AC1006"/>
      <c r="AD1006"/>
      <c r="AE1006"/>
      <c r="AF1006"/>
      <c r="AG1006"/>
      <c r="AH1006"/>
      <c r="BQ1006" s="2"/>
      <c r="BR1006" s="3"/>
      <c r="BS1006" s="3"/>
      <c r="BT1006" s="3"/>
      <c r="BU1006" s="3"/>
    </row>
    <row r="1007" spans="1:73" ht="15">
      <c r="A1007"/>
      <c r="J1007"/>
      <c r="AA1007"/>
      <c r="AB1007"/>
      <c r="AC1007"/>
      <c r="AD1007"/>
      <c r="AE1007"/>
      <c r="AF1007"/>
      <c r="AG1007"/>
      <c r="AH1007"/>
      <c r="BQ1007" s="2"/>
      <c r="BR1007" s="3"/>
      <c r="BS1007" s="3"/>
      <c r="BT1007" s="3"/>
      <c r="BU1007" s="3"/>
    </row>
    <row r="1008" spans="1:73" ht="15">
      <c r="A1008"/>
      <c r="J1008"/>
      <c r="AA1008"/>
      <c r="AB1008"/>
      <c r="AC1008"/>
      <c r="AD1008"/>
      <c r="AE1008"/>
      <c r="AF1008"/>
      <c r="AG1008"/>
      <c r="AH1008"/>
      <c r="BQ1008" s="2"/>
      <c r="BR1008" s="3"/>
      <c r="BS1008" s="3"/>
      <c r="BT1008" s="3"/>
      <c r="BU1008" s="3"/>
    </row>
    <row r="1009" spans="1:73" ht="15">
      <c r="A1009"/>
      <c r="J1009"/>
      <c r="AA1009"/>
      <c r="AB1009"/>
      <c r="AC1009"/>
      <c r="AD1009"/>
      <c r="AE1009"/>
      <c r="AF1009"/>
      <c r="AG1009"/>
      <c r="AH1009"/>
      <c r="BQ1009" s="2"/>
      <c r="BR1009" s="3"/>
      <c r="BS1009" s="3"/>
      <c r="BT1009" s="3"/>
      <c r="BU1009" s="3"/>
    </row>
    <row r="1010" spans="1:73" ht="15">
      <c r="A1010"/>
      <c r="J1010"/>
      <c r="AA1010"/>
      <c r="AB1010"/>
      <c r="AC1010"/>
      <c r="AD1010"/>
      <c r="AE1010"/>
      <c r="AF1010"/>
      <c r="AG1010"/>
      <c r="AH1010"/>
      <c r="BQ1010" s="2"/>
      <c r="BR1010" s="3"/>
      <c r="BS1010" s="3"/>
      <c r="BT1010" s="3"/>
      <c r="BU1010" s="3"/>
    </row>
    <row r="1011" spans="1:73" ht="15">
      <c r="A1011"/>
      <c r="J1011"/>
      <c r="AA1011"/>
      <c r="AB1011"/>
      <c r="AC1011"/>
      <c r="AD1011"/>
      <c r="AE1011"/>
      <c r="AF1011"/>
      <c r="AG1011"/>
      <c r="AH1011"/>
      <c r="BQ1011" s="2"/>
      <c r="BR1011" s="3"/>
      <c r="BS1011" s="3"/>
      <c r="BT1011" s="3"/>
      <c r="BU1011" s="3"/>
    </row>
    <row r="1012" spans="1:73" ht="15">
      <c r="A1012"/>
      <c r="J1012"/>
      <c r="AA1012"/>
      <c r="AB1012"/>
      <c r="AC1012"/>
      <c r="AD1012"/>
      <c r="AE1012"/>
      <c r="AF1012"/>
      <c r="AG1012"/>
      <c r="AH1012"/>
      <c r="BQ1012" s="2"/>
      <c r="BR1012" s="3"/>
      <c r="BS1012" s="3"/>
      <c r="BT1012" s="3"/>
      <c r="BU1012" s="3"/>
    </row>
    <row r="1013" spans="1:73" ht="15">
      <c r="A1013"/>
      <c r="J1013"/>
      <c r="AA1013"/>
      <c r="AB1013"/>
      <c r="AC1013"/>
      <c r="AD1013"/>
      <c r="AE1013"/>
      <c r="AF1013"/>
      <c r="AG1013"/>
      <c r="AH1013"/>
      <c r="BQ1013" s="2"/>
      <c r="BR1013" s="3"/>
      <c r="BS1013" s="3"/>
      <c r="BT1013" s="3"/>
      <c r="BU1013" s="3"/>
    </row>
    <row r="1014" spans="1:73" ht="15">
      <c r="A1014"/>
      <c r="J1014"/>
      <c r="AA1014"/>
      <c r="AB1014"/>
      <c r="AC1014"/>
      <c r="AD1014"/>
      <c r="AE1014"/>
      <c r="AF1014"/>
      <c r="AG1014"/>
      <c r="AH1014"/>
      <c r="BQ1014" s="2"/>
      <c r="BR1014" s="3"/>
      <c r="BS1014" s="3"/>
      <c r="BT1014" s="3"/>
      <c r="BU1014" s="3"/>
    </row>
    <row r="1015" spans="1:73" ht="15">
      <c r="A1015"/>
      <c r="J1015"/>
      <c r="AA1015"/>
      <c r="AB1015"/>
      <c r="AC1015"/>
      <c r="AD1015"/>
      <c r="AE1015"/>
      <c r="AF1015"/>
      <c r="AG1015"/>
      <c r="AH1015"/>
      <c r="BQ1015" s="2"/>
      <c r="BR1015" s="3"/>
      <c r="BS1015" s="3"/>
      <c r="BT1015" s="3"/>
      <c r="BU1015" s="3"/>
    </row>
    <row r="1016" spans="1:73" ht="15">
      <c r="A1016"/>
      <c r="J1016"/>
      <c r="AA1016"/>
      <c r="AB1016"/>
      <c r="AC1016"/>
      <c r="AD1016"/>
      <c r="AE1016"/>
      <c r="AF1016"/>
      <c r="AG1016"/>
      <c r="AH1016"/>
      <c r="BQ1016" s="2"/>
      <c r="BR1016" s="3"/>
      <c r="BS1016" s="3"/>
      <c r="BT1016" s="3"/>
      <c r="BU1016" s="3"/>
    </row>
    <row r="1017" spans="1:73" ht="15">
      <c r="A1017"/>
      <c r="J1017"/>
      <c r="AA1017"/>
      <c r="AB1017"/>
      <c r="AC1017"/>
      <c r="AD1017"/>
      <c r="AE1017"/>
      <c r="AF1017"/>
      <c r="AG1017"/>
      <c r="AH1017"/>
      <c r="BQ1017" s="2"/>
      <c r="BR1017" s="3"/>
      <c r="BS1017" s="3"/>
      <c r="BT1017" s="3"/>
      <c r="BU1017" s="3"/>
    </row>
    <row r="1018" spans="1:73" ht="15">
      <c r="A1018"/>
      <c r="J1018"/>
      <c r="AA1018"/>
      <c r="AB1018"/>
      <c r="AC1018"/>
      <c r="AD1018"/>
      <c r="AE1018"/>
      <c r="AF1018"/>
      <c r="AG1018"/>
      <c r="AH1018"/>
      <c r="BQ1018" s="2"/>
      <c r="BR1018" s="3"/>
      <c r="BS1018" s="3"/>
      <c r="BT1018" s="3"/>
      <c r="BU1018" s="3"/>
    </row>
    <row r="1019" spans="1:73" ht="15">
      <c r="A1019"/>
      <c r="J1019"/>
      <c r="AA1019"/>
      <c r="AB1019"/>
      <c r="AC1019"/>
      <c r="AD1019"/>
      <c r="AE1019"/>
      <c r="AF1019"/>
      <c r="AG1019"/>
      <c r="AH1019"/>
      <c r="BQ1019" s="2"/>
      <c r="BR1019" s="3"/>
      <c r="BS1019" s="3"/>
      <c r="BT1019" s="3"/>
      <c r="BU1019" s="3"/>
    </row>
    <row r="1020" spans="1:73" ht="15">
      <c r="A1020"/>
      <c r="J1020"/>
      <c r="AA1020"/>
      <c r="AB1020"/>
      <c r="AC1020"/>
      <c r="AD1020"/>
      <c r="AE1020"/>
      <c r="AF1020"/>
      <c r="AG1020"/>
      <c r="AH1020"/>
      <c r="BQ1020" s="2"/>
      <c r="BR1020" s="3"/>
      <c r="BS1020" s="3"/>
      <c r="BT1020" s="3"/>
      <c r="BU1020" s="3"/>
    </row>
    <row r="1021" spans="1:73" ht="15">
      <c r="A1021"/>
      <c r="J1021"/>
      <c r="AA1021"/>
      <c r="AB1021"/>
      <c r="AC1021"/>
      <c r="AD1021"/>
      <c r="AE1021"/>
      <c r="AF1021"/>
      <c r="AG1021"/>
      <c r="AH1021"/>
      <c r="BQ1021" s="2"/>
      <c r="BR1021" s="3"/>
      <c r="BS1021" s="3"/>
      <c r="BT1021" s="3"/>
      <c r="BU1021" s="3"/>
    </row>
    <row r="1022" spans="1:73" ht="15">
      <c r="A1022"/>
      <c r="J1022"/>
      <c r="AA1022"/>
      <c r="AB1022"/>
      <c r="AC1022"/>
      <c r="AD1022"/>
      <c r="AE1022"/>
      <c r="AF1022"/>
      <c r="AG1022"/>
      <c r="AH1022"/>
      <c r="BQ1022" s="2"/>
      <c r="BR1022" s="3"/>
      <c r="BS1022" s="3"/>
      <c r="BT1022" s="3"/>
      <c r="BU1022" s="3"/>
    </row>
    <row r="1023" spans="1:73" ht="15">
      <c r="A1023"/>
      <c r="J1023"/>
      <c r="AA1023"/>
      <c r="AB1023"/>
      <c r="AC1023"/>
      <c r="AD1023"/>
      <c r="AE1023"/>
      <c r="AF1023"/>
      <c r="AG1023"/>
      <c r="AH1023"/>
      <c r="BQ1023" s="2"/>
      <c r="BR1023" s="3"/>
      <c r="BS1023" s="3"/>
      <c r="BT1023" s="3"/>
      <c r="BU1023" s="3"/>
    </row>
    <row r="1024" spans="1:73" ht="15">
      <c r="A1024"/>
      <c r="J1024"/>
      <c r="AA1024"/>
      <c r="AB1024"/>
      <c r="AC1024"/>
      <c r="AD1024"/>
      <c r="AE1024"/>
      <c r="AF1024"/>
      <c r="AG1024"/>
      <c r="AH1024"/>
      <c r="BQ1024" s="2"/>
      <c r="BR1024" s="3"/>
      <c r="BS1024" s="3"/>
      <c r="BT1024" s="3"/>
      <c r="BU1024" s="3"/>
    </row>
    <row r="1025" spans="1:73" ht="15">
      <c r="A1025"/>
      <c r="J1025"/>
      <c r="AA1025"/>
      <c r="AB1025"/>
      <c r="AC1025"/>
      <c r="AD1025"/>
      <c r="AE1025"/>
      <c r="AF1025"/>
      <c r="AG1025"/>
      <c r="AH1025"/>
      <c r="BQ1025" s="2"/>
      <c r="BR1025" s="3"/>
      <c r="BS1025" s="3"/>
      <c r="BT1025" s="3"/>
      <c r="BU1025" s="3"/>
    </row>
    <row r="1026" spans="1:73" ht="15">
      <c r="A1026"/>
      <c r="J1026"/>
      <c r="AA1026"/>
      <c r="AB1026"/>
      <c r="AC1026"/>
      <c r="AD1026"/>
      <c r="AE1026"/>
      <c r="AF1026"/>
      <c r="AG1026"/>
      <c r="AH1026"/>
      <c r="BQ1026" s="2"/>
      <c r="BR1026" s="3"/>
      <c r="BS1026" s="3"/>
      <c r="BT1026" s="3"/>
      <c r="BU1026" s="3"/>
    </row>
    <row r="1027" spans="1:73" ht="15">
      <c r="A1027"/>
      <c r="J1027"/>
      <c r="AA1027"/>
      <c r="AB1027"/>
      <c r="AC1027"/>
      <c r="AD1027"/>
      <c r="AE1027"/>
      <c r="AF1027"/>
      <c r="AG1027"/>
      <c r="AH1027"/>
      <c r="BQ1027" s="2"/>
      <c r="BR1027" s="3"/>
      <c r="BS1027" s="3"/>
      <c r="BT1027" s="3"/>
      <c r="BU1027" s="3"/>
    </row>
    <row r="1028" spans="1:73" ht="15">
      <c r="A1028"/>
      <c r="J1028"/>
      <c r="AA1028"/>
      <c r="AB1028"/>
      <c r="AC1028"/>
      <c r="AD1028"/>
      <c r="AE1028"/>
      <c r="AF1028"/>
      <c r="AG1028"/>
      <c r="AH1028"/>
      <c r="BQ1028" s="2"/>
      <c r="BR1028" s="3"/>
      <c r="BS1028" s="3"/>
      <c r="BT1028" s="3"/>
      <c r="BU1028" s="3"/>
    </row>
    <row r="1029" spans="1:73" ht="15">
      <c r="A1029"/>
      <c r="J1029"/>
      <c r="AA1029"/>
      <c r="AB1029"/>
      <c r="AC1029"/>
      <c r="AD1029"/>
      <c r="AE1029"/>
      <c r="AF1029"/>
      <c r="AG1029"/>
      <c r="AH1029"/>
      <c r="BQ1029" s="2"/>
      <c r="BR1029" s="3"/>
      <c r="BS1029" s="3"/>
      <c r="BT1029" s="3"/>
      <c r="BU1029" s="3"/>
    </row>
    <row r="1030" spans="1:73" ht="15">
      <c r="A1030"/>
      <c r="J1030"/>
      <c r="AA1030"/>
      <c r="AB1030"/>
      <c r="AC1030"/>
      <c r="AD1030"/>
      <c r="AE1030"/>
      <c r="AF1030"/>
      <c r="AG1030"/>
      <c r="AH1030"/>
      <c r="BQ1030" s="2"/>
      <c r="BR1030" s="3"/>
      <c r="BS1030" s="3"/>
      <c r="BT1030" s="3"/>
      <c r="BU1030" s="3"/>
    </row>
    <row r="1031" spans="1:73" ht="15">
      <c r="A1031"/>
      <c r="J1031"/>
      <c r="AA1031"/>
      <c r="AB1031"/>
      <c r="AC1031"/>
      <c r="AD1031"/>
      <c r="AE1031"/>
      <c r="AF1031"/>
      <c r="AG1031"/>
      <c r="AH1031"/>
      <c r="BQ1031" s="2"/>
      <c r="BR1031" s="3"/>
      <c r="BS1031" s="3"/>
      <c r="BT1031" s="3"/>
      <c r="BU1031" s="3"/>
    </row>
    <row r="1032" spans="1:73" ht="15">
      <c r="A1032"/>
      <c r="J1032"/>
      <c r="AA1032"/>
      <c r="AB1032"/>
      <c r="AC1032"/>
      <c r="AD1032"/>
      <c r="AE1032"/>
      <c r="AF1032"/>
      <c r="AG1032"/>
      <c r="AH1032"/>
      <c r="BQ1032" s="2"/>
      <c r="BR1032" s="3"/>
      <c r="BS1032" s="3"/>
      <c r="BT1032" s="3"/>
      <c r="BU1032" s="3"/>
    </row>
    <row r="1033" spans="1:73" ht="15">
      <c r="A1033"/>
      <c r="J1033"/>
      <c r="AA1033"/>
      <c r="AB1033"/>
      <c r="AC1033"/>
      <c r="AD1033"/>
      <c r="AE1033"/>
      <c r="AF1033"/>
      <c r="AG1033"/>
      <c r="AH1033"/>
      <c r="BQ1033" s="2"/>
      <c r="BR1033" s="3"/>
      <c r="BS1033" s="3"/>
      <c r="BT1033" s="3"/>
      <c r="BU1033" s="3"/>
    </row>
    <row r="1034" spans="1:73" ht="15">
      <c r="A1034"/>
      <c r="J1034"/>
      <c r="AA1034"/>
      <c r="AB1034"/>
      <c r="AC1034"/>
      <c r="AD1034"/>
      <c r="AE1034"/>
      <c r="AF1034"/>
      <c r="AG1034"/>
      <c r="AH1034"/>
      <c r="BQ1034" s="2"/>
      <c r="BR1034" s="3"/>
      <c r="BS1034" s="3"/>
      <c r="BT1034" s="3"/>
      <c r="BU1034" s="3"/>
    </row>
    <row r="1035" spans="1:73" ht="15">
      <c r="A1035"/>
      <c r="J1035"/>
      <c r="AA1035"/>
      <c r="AB1035"/>
      <c r="AC1035"/>
      <c r="AD1035"/>
      <c r="AE1035"/>
      <c r="AF1035"/>
      <c r="AG1035"/>
      <c r="AH1035"/>
      <c r="BQ1035" s="2"/>
      <c r="BR1035" s="3"/>
      <c r="BS1035" s="3"/>
      <c r="BT1035" s="3"/>
      <c r="BU1035" s="3"/>
    </row>
    <row r="1036" spans="1:73" ht="15">
      <c r="A1036"/>
      <c r="J1036"/>
      <c r="AA1036"/>
      <c r="AB1036"/>
      <c r="AC1036"/>
      <c r="AD1036"/>
      <c r="AE1036"/>
      <c r="AF1036"/>
      <c r="AG1036"/>
      <c r="AH1036"/>
      <c r="BQ1036" s="2"/>
      <c r="BR1036" s="3"/>
      <c r="BS1036" s="3"/>
      <c r="BT1036" s="3"/>
      <c r="BU1036" s="3"/>
    </row>
    <row r="1037" spans="1:73" ht="15">
      <c r="A1037"/>
      <c r="J1037"/>
      <c r="AA1037"/>
      <c r="AB1037"/>
      <c r="AC1037"/>
      <c r="AD1037"/>
      <c r="AE1037"/>
      <c r="AF1037"/>
      <c r="AG1037"/>
      <c r="AH1037"/>
      <c r="BQ1037" s="2"/>
      <c r="BR1037" s="3"/>
      <c r="BS1037" s="3"/>
      <c r="BT1037" s="3"/>
      <c r="BU1037" s="3"/>
    </row>
    <row r="1038" spans="1:73" ht="15">
      <c r="A1038"/>
      <c r="J1038"/>
      <c r="AA1038"/>
      <c r="AB1038"/>
      <c r="AC1038"/>
      <c r="AD1038"/>
      <c r="AE1038"/>
      <c r="AF1038"/>
      <c r="AG1038"/>
      <c r="AH1038"/>
      <c r="BQ1038" s="2"/>
      <c r="BR1038" s="3"/>
      <c r="BS1038" s="3"/>
      <c r="BT1038" s="3"/>
      <c r="BU1038" s="3"/>
    </row>
    <row r="1039" spans="1:73" ht="15">
      <c r="A1039"/>
      <c r="J1039"/>
      <c r="AA1039"/>
      <c r="AB1039"/>
      <c r="AC1039"/>
      <c r="AD1039"/>
      <c r="AE1039"/>
      <c r="AF1039"/>
      <c r="AG1039"/>
      <c r="AH1039"/>
      <c r="BQ1039" s="2"/>
      <c r="BR1039" s="3"/>
      <c r="BS1039" s="3"/>
      <c r="BT1039" s="3"/>
      <c r="BU1039" s="3"/>
    </row>
    <row r="1040" spans="1:73" ht="15">
      <c r="A1040"/>
      <c r="J1040"/>
      <c r="AA1040"/>
      <c r="AB1040"/>
      <c r="AC1040"/>
      <c r="AD1040"/>
      <c r="AE1040"/>
      <c r="AF1040"/>
      <c r="AG1040"/>
      <c r="AH1040"/>
      <c r="BQ1040" s="2"/>
      <c r="BR1040" s="3"/>
      <c r="BS1040" s="3"/>
      <c r="BT1040" s="3"/>
      <c r="BU1040" s="3"/>
    </row>
    <row r="1041" spans="1:73" ht="15">
      <c r="A1041"/>
      <c r="J1041"/>
      <c r="AA1041"/>
      <c r="AB1041"/>
      <c r="AC1041"/>
      <c r="AD1041"/>
      <c r="AE1041"/>
      <c r="AF1041"/>
      <c r="AG1041"/>
      <c r="AH1041"/>
      <c r="BQ1041" s="2"/>
      <c r="BR1041" s="3"/>
      <c r="BS1041" s="3"/>
      <c r="BT1041" s="3"/>
      <c r="BU1041" s="3"/>
    </row>
    <row r="1042" spans="1:73" ht="15">
      <c r="A1042"/>
      <c r="J1042"/>
      <c r="AA1042"/>
      <c r="AB1042"/>
      <c r="AC1042"/>
      <c r="AD1042"/>
      <c r="AE1042"/>
      <c r="AF1042"/>
      <c r="AG1042"/>
      <c r="AH1042"/>
      <c r="BQ1042" s="2"/>
      <c r="BR1042" s="3"/>
      <c r="BS1042" s="3"/>
      <c r="BT1042" s="3"/>
      <c r="BU1042" s="3"/>
    </row>
    <row r="1043" spans="1:73" ht="15">
      <c r="A1043"/>
      <c r="J1043"/>
      <c r="AA1043"/>
      <c r="AB1043"/>
      <c r="AC1043"/>
      <c r="AD1043"/>
      <c r="AE1043"/>
      <c r="AF1043"/>
      <c r="AG1043"/>
      <c r="AH1043"/>
      <c r="BQ1043" s="2"/>
      <c r="BR1043" s="3"/>
      <c r="BS1043" s="3"/>
      <c r="BT1043" s="3"/>
      <c r="BU1043" s="3"/>
    </row>
    <row r="1044" spans="1:73" ht="15">
      <c r="A1044"/>
      <c r="J1044"/>
      <c r="AA1044"/>
      <c r="AB1044"/>
      <c r="AC1044"/>
      <c r="AD1044"/>
      <c r="AE1044"/>
      <c r="AF1044"/>
      <c r="AG1044"/>
      <c r="AH1044"/>
      <c r="BQ1044" s="2"/>
      <c r="BR1044" s="3"/>
      <c r="BS1044" s="3"/>
      <c r="BT1044" s="3"/>
      <c r="BU1044" s="3"/>
    </row>
    <row r="1045" spans="1:73" ht="15">
      <c r="A1045"/>
      <c r="J1045"/>
      <c r="AA1045"/>
      <c r="AB1045"/>
      <c r="AC1045"/>
      <c r="AD1045"/>
      <c r="AE1045"/>
      <c r="AF1045"/>
      <c r="AG1045"/>
      <c r="AH1045"/>
      <c r="BQ1045" s="2"/>
      <c r="BR1045" s="3"/>
      <c r="BS1045" s="3"/>
      <c r="BT1045" s="3"/>
      <c r="BU1045" s="3"/>
    </row>
    <row r="1046" spans="1:73" ht="15">
      <c r="A1046"/>
      <c r="J1046"/>
      <c r="AA1046"/>
      <c r="AB1046"/>
      <c r="AC1046"/>
      <c r="AD1046"/>
      <c r="AE1046"/>
      <c r="AF1046"/>
      <c r="AG1046"/>
      <c r="AH1046"/>
      <c r="BQ1046" s="2"/>
      <c r="BR1046" s="3"/>
      <c r="BS1046" s="3"/>
      <c r="BT1046" s="3"/>
      <c r="BU1046" s="3"/>
    </row>
    <row r="1047" spans="1:73" ht="15">
      <c r="A1047"/>
      <c r="J1047"/>
      <c r="AA1047"/>
      <c r="AB1047"/>
      <c r="AC1047"/>
      <c r="AD1047"/>
      <c r="AE1047"/>
      <c r="AF1047"/>
      <c r="AG1047"/>
      <c r="AH1047"/>
      <c r="BQ1047" s="2"/>
      <c r="BR1047" s="3"/>
      <c r="BS1047" s="3"/>
      <c r="BT1047" s="3"/>
      <c r="BU1047" s="3"/>
    </row>
    <row r="1048" spans="1:73" ht="15">
      <c r="A1048"/>
      <c r="J1048"/>
      <c r="AA1048"/>
      <c r="AB1048"/>
      <c r="AC1048"/>
      <c r="AD1048"/>
      <c r="AE1048"/>
      <c r="AF1048"/>
      <c r="AG1048"/>
      <c r="AH1048"/>
      <c r="BQ1048" s="2"/>
      <c r="BR1048" s="3"/>
      <c r="BS1048" s="3"/>
      <c r="BT1048" s="3"/>
      <c r="BU1048" s="3"/>
    </row>
    <row r="1049" spans="1:73" ht="15">
      <c r="A1049"/>
      <c r="J1049"/>
      <c r="AA1049"/>
      <c r="AB1049"/>
      <c r="AC1049"/>
      <c r="AD1049"/>
      <c r="AE1049"/>
      <c r="AF1049"/>
      <c r="AG1049"/>
      <c r="AH1049"/>
      <c r="BQ1049" s="2"/>
      <c r="BR1049" s="3"/>
      <c r="BS1049" s="3"/>
      <c r="BT1049" s="3"/>
      <c r="BU1049" s="3"/>
    </row>
    <row r="1050" spans="1:73" ht="15">
      <c r="A1050"/>
      <c r="J1050"/>
      <c r="AA1050"/>
      <c r="AB1050"/>
      <c r="AC1050"/>
      <c r="AD1050"/>
      <c r="AE1050"/>
      <c r="AF1050"/>
      <c r="AG1050"/>
      <c r="AH1050"/>
      <c r="BQ1050" s="2"/>
      <c r="BR1050" s="3"/>
      <c r="BS1050" s="3"/>
      <c r="BT1050" s="3"/>
      <c r="BU1050" s="3"/>
    </row>
    <row r="1051" spans="1:73" ht="15">
      <c r="A1051"/>
      <c r="J1051"/>
      <c r="AA1051"/>
      <c r="AB1051"/>
      <c r="AC1051"/>
      <c r="AD1051"/>
      <c r="AE1051"/>
      <c r="AF1051"/>
      <c r="AG1051"/>
      <c r="AH1051"/>
      <c r="BQ1051" s="2"/>
      <c r="BR1051" s="3"/>
      <c r="BS1051" s="3"/>
      <c r="BT1051" s="3"/>
      <c r="BU1051" s="3"/>
    </row>
    <row r="1052" spans="1:73" ht="15">
      <c r="A1052"/>
      <c r="J1052"/>
      <c r="AA1052"/>
      <c r="AB1052"/>
      <c r="AC1052"/>
      <c r="AD1052"/>
      <c r="AE1052"/>
      <c r="AF1052"/>
      <c r="AG1052"/>
      <c r="AH1052"/>
      <c r="BQ1052" s="2"/>
      <c r="BR1052" s="3"/>
      <c r="BS1052" s="3"/>
      <c r="BT1052" s="3"/>
      <c r="BU1052" s="3"/>
    </row>
    <row r="1053" spans="1:73" ht="15">
      <c r="A1053"/>
      <c r="J1053"/>
      <c r="AA1053"/>
      <c r="AB1053"/>
      <c r="AC1053"/>
      <c r="AD1053"/>
      <c r="AE1053"/>
      <c r="AF1053"/>
      <c r="AG1053"/>
      <c r="AH1053"/>
      <c r="BQ1053" s="2"/>
      <c r="BR1053" s="3"/>
      <c r="BS1053" s="3"/>
      <c r="BT1053" s="3"/>
      <c r="BU1053" s="3"/>
    </row>
    <row r="1054" spans="1:73" ht="15">
      <c r="A1054"/>
      <c r="J1054"/>
      <c r="AA1054"/>
      <c r="AB1054"/>
      <c r="AC1054"/>
      <c r="AD1054"/>
      <c r="AE1054"/>
      <c r="AF1054"/>
      <c r="AG1054"/>
      <c r="AH1054"/>
      <c r="BQ1054" s="2"/>
      <c r="BR1054" s="3"/>
      <c r="BS1054" s="3"/>
      <c r="BT1054" s="3"/>
      <c r="BU1054" s="3"/>
    </row>
    <row r="1055" spans="1:73" ht="15">
      <c r="A1055"/>
      <c r="J1055"/>
      <c r="AA1055"/>
      <c r="AB1055"/>
      <c r="AC1055"/>
      <c r="AD1055"/>
      <c r="AE1055"/>
      <c r="AF1055"/>
      <c r="AG1055"/>
      <c r="AH1055"/>
      <c r="BQ1055" s="2"/>
      <c r="BR1055" s="3"/>
      <c r="BS1055" s="3"/>
      <c r="BT1055" s="3"/>
      <c r="BU1055" s="3"/>
    </row>
    <row r="1056" spans="1:73" ht="15">
      <c r="A1056"/>
      <c r="J1056"/>
      <c r="AA1056"/>
      <c r="AB1056"/>
      <c r="AC1056"/>
      <c r="AD1056"/>
      <c r="AE1056"/>
      <c r="AF1056"/>
      <c r="AG1056"/>
      <c r="AH1056"/>
      <c r="BQ1056" s="2"/>
      <c r="BR1056" s="3"/>
      <c r="BS1056" s="3"/>
      <c r="BT1056" s="3"/>
      <c r="BU1056" s="3"/>
    </row>
    <row r="1057" spans="1:73" ht="15">
      <c r="A1057"/>
      <c r="J1057"/>
      <c r="AA1057"/>
      <c r="AB1057"/>
      <c r="AC1057"/>
      <c r="AD1057"/>
      <c r="AE1057"/>
      <c r="AF1057"/>
      <c r="AG1057"/>
      <c r="AH1057"/>
      <c r="BQ1057" s="2"/>
      <c r="BR1057" s="3"/>
      <c r="BS1057" s="3"/>
      <c r="BT1057" s="3"/>
      <c r="BU1057" s="3"/>
    </row>
    <row r="1058" spans="1:73" ht="15">
      <c r="A1058"/>
      <c r="J1058"/>
      <c r="AA1058"/>
      <c r="AB1058"/>
      <c r="AC1058"/>
      <c r="AD1058"/>
      <c r="AE1058"/>
      <c r="AF1058"/>
      <c r="AG1058"/>
      <c r="AH1058"/>
      <c r="BQ1058" s="2"/>
      <c r="BR1058" s="3"/>
      <c r="BS1058" s="3"/>
      <c r="BT1058" s="3"/>
      <c r="BU1058" s="3"/>
    </row>
    <row r="1059" spans="1:73" ht="15">
      <c r="A1059"/>
      <c r="J1059"/>
      <c r="AA1059"/>
      <c r="AB1059"/>
      <c r="AC1059"/>
      <c r="AD1059"/>
      <c r="AE1059"/>
      <c r="AF1059"/>
      <c r="AG1059"/>
      <c r="AH1059"/>
      <c r="BQ1059" s="2"/>
      <c r="BR1059" s="3"/>
      <c r="BS1059" s="3"/>
      <c r="BT1059" s="3"/>
      <c r="BU1059" s="3"/>
    </row>
    <row r="1060" spans="1:73" ht="15">
      <c r="A1060"/>
      <c r="J1060"/>
      <c r="AA1060"/>
      <c r="AB1060"/>
      <c r="AC1060"/>
      <c r="AD1060"/>
      <c r="AE1060"/>
      <c r="AF1060"/>
      <c r="AG1060"/>
      <c r="AH1060"/>
      <c r="BQ1060" s="2"/>
      <c r="BR1060" s="3"/>
      <c r="BS1060" s="3"/>
      <c r="BT1060" s="3"/>
      <c r="BU1060" s="3"/>
    </row>
    <row r="1061" spans="1:73" ht="15">
      <c r="A1061"/>
      <c r="J1061"/>
      <c r="AA1061"/>
      <c r="AB1061"/>
      <c r="AC1061"/>
      <c r="AD1061"/>
      <c r="AE1061"/>
      <c r="AF1061"/>
      <c r="AG1061"/>
      <c r="AH1061"/>
      <c r="BQ1061" s="2"/>
      <c r="BR1061" s="3"/>
      <c r="BS1061" s="3"/>
      <c r="BT1061" s="3"/>
      <c r="BU1061" s="3"/>
    </row>
    <row r="1062" spans="1:73" ht="15">
      <c r="A1062"/>
      <c r="J1062"/>
      <c r="AA1062"/>
      <c r="AB1062"/>
      <c r="AC1062"/>
      <c r="AD1062"/>
      <c r="AE1062"/>
      <c r="AF1062"/>
      <c r="AG1062"/>
      <c r="AH1062"/>
      <c r="BQ1062" s="2"/>
      <c r="BR1062" s="3"/>
      <c r="BS1062" s="3"/>
      <c r="BT1062" s="3"/>
      <c r="BU1062" s="3"/>
    </row>
    <row r="1063" spans="1:73" ht="15">
      <c r="A1063"/>
      <c r="J1063"/>
      <c r="AA1063"/>
      <c r="AB1063"/>
      <c r="AC1063"/>
      <c r="AD1063"/>
      <c r="AE1063"/>
      <c r="AF1063"/>
      <c r="AG1063"/>
      <c r="AH1063"/>
      <c r="BQ1063" s="2"/>
      <c r="BR1063" s="3"/>
      <c r="BS1063" s="3"/>
      <c r="BT1063" s="3"/>
      <c r="BU1063" s="3"/>
    </row>
    <row r="1064" spans="1:73" ht="15">
      <c r="A1064"/>
      <c r="J1064"/>
      <c r="AA1064"/>
      <c r="AB1064"/>
      <c r="AC1064"/>
      <c r="AD1064"/>
      <c r="AE1064"/>
      <c r="AF1064"/>
      <c r="AG1064"/>
      <c r="AH1064"/>
      <c r="BQ1064" s="2"/>
      <c r="BR1064" s="3"/>
      <c r="BS1064" s="3"/>
      <c r="BT1064" s="3"/>
      <c r="BU1064" s="3"/>
    </row>
    <row r="1065" spans="1:73" ht="15">
      <c r="A1065"/>
      <c r="J1065"/>
      <c r="AA1065"/>
      <c r="AB1065"/>
      <c r="AC1065"/>
      <c r="AD1065"/>
      <c r="AE1065"/>
      <c r="AF1065"/>
      <c r="AG1065"/>
      <c r="AH1065"/>
      <c r="BQ1065" s="2"/>
      <c r="BR1065" s="3"/>
      <c r="BS1065" s="3"/>
      <c r="BT1065" s="3"/>
      <c r="BU1065" s="3"/>
    </row>
    <row r="1066" spans="1:73" ht="15">
      <c r="A1066"/>
      <c r="J1066"/>
      <c r="AA1066"/>
      <c r="AB1066"/>
      <c r="AC1066"/>
      <c r="AD1066"/>
      <c r="AE1066"/>
      <c r="AF1066"/>
      <c r="AG1066"/>
      <c r="AH1066"/>
      <c r="BQ1066" s="2"/>
      <c r="BR1066" s="3"/>
      <c r="BS1066" s="3"/>
      <c r="BT1066" s="3"/>
      <c r="BU1066" s="3"/>
    </row>
    <row r="1067" spans="1:73" ht="15">
      <c r="A1067"/>
      <c r="J1067"/>
      <c r="AA1067"/>
      <c r="AB1067"/>
      <c r="AC1067"/>
      <c r="AD1067"/>
      <c r="AE1067"/>
      <c r="AF1067"/>
      <c r="AG1067"/>
      <c r="AH1067"/>
      <c r="BQ1067" s="2"/>
      <c r="BR1067" s="3"/>
      <c r="BS1067" s="3"/>
      <c r="BT1067" s="3"/>
      <c r="BU1067" s="3"/>
    </row>
    <row r="1068" spans="1:73" ht="15">
      <c r="A1068"/>
      <c r="J1068"/>
      <c r="AA1068"/>
      <c r="AB1068"/>
      <c r="AC1068"/>
      <c r="AD1068"/>
      <c r="AE1068"/>
      <c r="AF1068"/>
      <c r="AG1068"/>
      <c r="AH1068"/>
      <c r="BQ1068" s="2"/>
      <c r="BR1068" s="3"/>
      <c r="BS1068" s="3"/>
      <c r="BT1068" s="3"/>
      <c r="BU1068" s="3"/>
    </row>
    <row r="1069" spans="1:73" ht="15">
      <c r="A1069"/>
      <c r="J1069"/>
      <c r="AA1069"/>
      <c r="AB1069"/>
      <c r="AC1069"/>
      <c r="AD1069"/>
      <c r="AE1069"/>
      <c r="AF1069"/>
      <c r="AG1069"/>
      <c r="AH1069"/>
      <c r="BQ1069" s="2"/>
      <c r="BR1069" s="3"/>
      <c r="BS1069" s="3"/>
      <c r="BT1069" s="3"/>
      <c r="BU1069" s="3"/>
    </row>
    <row r="1070" spans="1:73" ht="15">
      <c r="A1070"/>
      <c r="J1070"/>
      <c r="AA1070"/>
      <c r="AB1070"/>
      <c r="AC1070"/>
      <c r="AD1070"/>
      <c r="AE1070"/>
      <c r="AF1070"/>
      <c r="AG1070"/>
      <c r="AH1070"/>
      <c r="BQ1070" s="2"/>
      <c r="BR1070" s="3"/>
      <c r="BS1070" s="3"/>
      <c r="BT1070" s="3"/>
      <c r="BU1070" s="3"/>
    </row>
    <row r="1071" spans="1:73" ht="15">
      <c r="A1071"/>
      <c r="J1071"/>
      <c r="AA1071"/>
      <c r="AB1071"/>
      <c r="AC1071"/>
      <c r="AD1071"/>
      <c r="AE1071"/>
      <c r="AF1071"/>
      <c r="AG1071"/>
      <c r="AH1071"/>
      <c r="BQ1071" s="2"/>
      <c r="BR1071" s="3"/>
      <c r="BS1071" s="3"/>
      <c r="BT1071" s="3"/>
      <c r="BU1071" s="3"/>
    </row>
    <row r="1072" spans="1:73" ht="15">
      <c r="A1072"/>
      <c r="J1072"/>
      <c r="AA1072"/>
      <c r="AB1072"/>
      <c r="AC1072"/>
      <c r="AD1072"/>
      <c r="AE1072"/>
      <c r="AF1072"/>
      <c r="AG1072"/>
      <c r="AH1072"/>
      <c r="BQ1072" s="2"/>
      <c r="BR1072" s="3"/>
      <c r="BS1072" s="3"/>
      <c r="BT1072" s="3"/>
      <c r="BU1072" s="3"/>
    </row>
    <row r="1073" spans="1:73" ht="15">
      <c r="A1073"/>
      <c r="J1073"/>
      <c r="AA1073"/>
      <c r="AB1073"/>
      <c r="AC1073"/>
      <c r="AD1073"/>
      <c r="AE1073"/>
      <c r="AF1073"/>
      <c r="AG1073"/>
      <c r="AH1073"/>
      <c r="BQ1073" s="2"/>
      <c r="BR1073" s="3"/>
      <c r="BS1073" s="3"/>
      <c r="BT1073" s="3"/>
      <c r="BU1073" s="3"/>
    </row>
    <row r="1074" spans="1:73" ht="15">
      <c r="A1074"/>
      <c r="J1074"/>
      <c r="AA1074"/>
      <c r="AB1074"/>
      <c r="AC1074"/>
      <c r="AD1074"/>
      <c r="AE1074"/>
      <c r="AF1074"/>
      <c r="AG1074"/>
      <c r="AH1074"/>
      <c r="BQ1074" s="2"/>
      <c r="BR1074" s="3"/>
      <c r="BS1074" s="3"/>
      <c r="BT1074" s="3"/>
      <c r="BU1074" s="3"/>
    </row>
    <row r="1075" spans="1:73" ht="15">
      <c r="A1075"/>
      <c r="J1075"/>
      <c r="AA1075"/>
      <c r="AB1075"/>
      <c r="AC1075"/>
      <c r="AD1075"/>
      <c r="AE1075"/>
      <c r="AF1075"/>
      <c r="AG1075"/>
      <c r="AH1075"/>
      <c r="BQ1075" s="2"/>
      <c r="BR1075" s="3"/>
      <c r="BS1075" s="3"/>
      <c r="BT1075" s="3"/>
      <c r="BU1075" s="3"/>
    </row>
    <row r="1076" spans="1:73" ht="15">
      <c r="A1076"/>
      <c r="J1076"/>
      <c r="AA1076"/>
      <c r="AB1076"/>
      <c r="AC1076"/>
      <c r="AD1076"/>
      <c r="AE1076"/>
      <c r="AF1076"/>
      <c r="AG1076"/>
      <c r="AH1076"/>
      <c r="BQ1076" s="2"/>
      <c r="BR1076" s="3"/>
      <c r="BS1076" s="3"/>
      <c r="BT1076" s="3"/>
      <c r="BU1076" s="3"/>
    </row>
    <row r="1077" spans="1:73" ht="15">
      <c r="A1077"/>
      <c r="J1077"/>
      <c r="AA1077"/>
      <c r="AB1077"/>
      <c r="AC1077"/>
      <c r="AD1077"/>
      <c r="AE1077"/>
      <c r="AF1077"/>
      <c r="AG1077"/>
      <c r="AH1077"/>
      <c r="BQ1077" s="2"/>
      <c r="BR1077" s="3"/>
      <c r="BS1077" s="3"/>
      <c r="BT1077" s="3"/>
      <c r="BU1077" s="3"/>
    </row>
    <row r="1078" spans="1:73" ht="15">
      <c r="A1078"/>
      <c r="J1078"/>
      <c r="AA1078"/>
      <c r="AB1078"/>
      <c r="AC1078"/>
      <c r="AD1078"/>
      <c r="AE1078"/>
      <c r="AF1078"/>
      <c r="AG1078"/>
      <c r="AH1078"/>
      <c r="BQ1078" s="2"/>
      <c r="BR1078" s="3"/>
      <c r="BS1078" s="3"/>
      <c r="BT1078" s="3"/>
      <c r="BU1078" s="3"/>
    </row>
    <row r="1079" spans="1:73" ht="15">
      <c r="A1079"/>
      <c r="J1079"/>
      <c r="AA1079"/>
      <c r="AB1079"/>
      <c r="AC1079"/>
      <c r="AD1079"/>
      <c r="AE1079"/>
      <c r="AF1079"/>
      <c r="AG1079"/>
      <c r="AH1079"/>
      <c r="BQ1079" s="2"/>
      <c r="BR1079" s="3"/>
      <c r="BS1079" s="3"/>
      <c r="BT1079" s="3"/>
      <c r="BU1079" s="3"/>
    </row>
    <row r="1080" spans="1:73" ht="15">
      <c r="A1080"/>
      <c r="J1080"/>
      <c r="AA1080"/>
      <c r="AB1080"/>
      <c r="AC1080"/>
      <c r="AD1080"/>
      <c r="AE1080"/>
      <c r="AF1080"/>
      <c r="AG1080"/>
      <c r="AH1080"/>
      <c r="BQ1080" s="2"/>
      <c r="BR1080" s="3"/>
      <c r="BS1080" s="3"/>
      <c r="BT1080" s="3"/>
      <c r="BU1080" s="3"/>
    </row>
    <row r="1081" spans="1:73" ht="15">
      <c r="A1081"/>
      <c r="J1081"/>
      <c r="AA1081"/>
      <c r="AB1081"/>
      <c r="AC1081"/>
      <c r="AD1081"/>
      <c r="AE1081"/>
      <c r="AF1081"/>
      <c r="AG1081"/>
      <c r="AH1081"/>
      <c r="BQ1081" s="2"/>
      <c r="BR1081" s="3"/>
      <c r="BS1081" s="3"/>
      <c r="BT1081" s="3"/>
      <c r="BU1081" s="3"/>
    </row>
    <row r="1082" spans="1:73" ht="15">
      <c r="A1082"/>
      <c r="J1082"/>
      <c r="AA1082"/>
      <c r="AB1082"/>
      <c r="AC1082"/>
      <c r="AD1082"/>
      <c r="AE1082"/>
      <c r="AF1082"/>
      <c r="AG1082"/>
      <c r="AH1082"/>
      <c r="BQ1082" s="2"/>
      <c r="BR1082" s="3"/>
      <c r="BS1082" s="3"/>
      <c r="BT1082" s="3"/>
      <c r="BU1082" s="3"/>
    </row>
    <row r="1083" spans="1:73" ht="15">
      <c r="A1083"/>
      <c r="J1083"/>
      <c r="AA1083"/>
      <c r="AB1083"/>
      <c r="AC1083"/>
      <c r="AD1083"/>
      <c r="AE1083"/>
      <c r="AF1083"/>
      <c r="AG1083"/>
      <c r="AH1083"/>
      <c r="BQ1083" s="2"/>
      <c r="BR1083" s="3"/>
      <c r="BS1083" s="3"/>
      <c r="BT1083" s="3"/>
      <c r="BU1083" s="3"/>
    </row>
    <row r="1084" spans="1:73" ht="15">
      <c r="A1084"/>
      <c r="J1084"/>
      <c r="AA1084"/>
      <c r="AB1084"/>
      <c r="AC1084"/>
      <c r="AD1084"/>
      <c r="AE1084"/>
      <c r="AF1084"/>
      <c r="AG1084"/>
      <c r="AH1084"/>
      <c r="BQ1084" s="2"/>
      <c r="BR1084" s="3"/>
      <c r="BS1084" s="3"/>
      <c r="BT1084" s="3"/>
      <c r="BU1084" s="3"/>
    </row>
    <row r="1085" spans="1:73" ht="15">
      <c r="A1085"/>
      <c r="J1085"/>
      <c r="AA1085"/>
      <c r="AB1085"/>
      <c r="AC1085"/>
      <c r="AD1085"/>
      <c r="AE1085"/>
      <c r="AF1085"/>
      <c r="AG1085"/>
      <c r="AH1085"/>
      <c r="BQ1085" s="2"/>
      <c r="BR1085" s="3"/>
      <c r="BS1085" s="3"/>
      <c r="BT1085" s="3"/>
      <c r="BU1085" s="3"/>
    </row>
    <row r="1086" spans="1:73" ht="15">
      <c r="A1086"/>
      <c r="J1086"/>
      <c r="AA1086"/>
      <c r="AB1086"/>
      <c r="AC1086"/>
      <c r="AD1086"/>
      <c r="AE1086"/>
      <c r="AF1086"/>
      <c r="AG1086"/>
      <c r="AH1086"/>
      <c r="BQ1086" s="2"/>
      <c r="BR1086" s="3"/>
      <c r="BS1086" s="3"/>
      <c r="BT1086" s="3"/>
      <c r="BU1086" s="3"/>
    </row>
    <row r="1087" spans="1:73" ht="15">
      <c r="A1087"/>
      <c r="J1087"/>
      <c r="AA1087"/>
      <c r="AB1087"/>
      <c r="AC1087"/>
      <c r="AD1087"/>
      <c r="AE1087"/>
      <c r="AF1087"/>
      <c r="AG1087"/>
      <c r="AH1087"/>
      <c r="BQ1087" s="2"/>
      <c r="BR1087" s="3"/>
      <c r="BS1087" s="3"/>
      <c r="BT1087" s="3"/>
      <c r="BU1087" s="3"/>
    </row>
    <row r="1088" spans="1:73" ht="15">
      <c r="A1088"/>
      <c r="J1088"/>
      <c r="AA1088"/>
      <c r="AB1088"/>
      <c r="AC1088"/>
      <c r="AD1088"/>
      <c r="AE1088"/>
      <c r="AF1088"/>
      <c r="AG1088"/>
      <c r="AH1088"/>
      <c r="BQ1088" s="2"/>
      <c r="BR1088" s="3"/>
      <c r="BS1088" s="3"/>
      <c r="BT1088" s="3"/>
      <c r="BU1088" s="3"/>
    </row>
    <row r="1089" spans="1:73" ht="15">
      <c r="A1089"/>
      <c r="J1089"/>
      <c r="AA1089"/>
      <c r="AB1089"/>
      <c r="AC1089"/>
      <c r="AD1089"/>
      <c r="AE1089"/>
      <c r="AF1089"/>
      <c r="AG1089"/>
      <c r="AH1089"/>
      <c r="BQ1089" s="2"/>
      <c r="BR1089" s="3"/>
      <c r="BS1089" s="3"/>
      <c r="BT1089" s="3"/>
      <c r="BU1089" s="3"/>
    </row>
    <row r="1090" spans="1:73" ht="15">
      <c r="A1090"/>
      <c r="J1090"/>
      <c r="AA1090"/>
      <c r="AB1090"/>
      <c r="AC1090"/>
      <c r="AD1090"/>
      <c r="AE1090"/>
      <c r="AF1090"/>
      <c r="AG1090"/>
      <c r="AH1090"/>
      <c r="BQ1090" s="2"/>
      <c r="BR1090" s="3"/>
      <c r="BS1090" s="3"/>
      <c r="BT1090" s="3"/>
      <c r="BU1090" s="3"/>
    </row>
    <row r="1091" spans="1:73" ht="15">
      <c r="A1091"/>
      <c r="J1091"/>
      <c r="AA1091"/>
      <c r="AB1091"/>
      <c r="AC1091"/>
      <c r="AD1091"/>
      <c r="AE1091"/>
      <c r="AF1091"/>
      <c r="AG1091"/>
      <c r="AH1091"/>
      <c r="BQ1091" s="2"/>
      <c r="BR1091" s="3"/>
      <c r="BS1091" s="3"/>
      <c r="BT1091" s="3"/>
      <c r="BU1091" s="3"/>
    </row>
    <row r="1092" spans="1:73" ht="15">
      <c r="A1092"/>
      <c r="J1092"/>
      <c r="AA1092"/>
      <c r="AB1092"/>
      <c r="AC1092"/>
      <c r="AD1092"/>
      <c r="AE1092"/>
      <c r="AF1092"/>
      <c r="AG1092"/>
      <c r="AH1092"/>
      <c r="BQ1092" s="2"/>
      <c r="BR1092" s="3"/>
      <c r="BS1092" s="3"/>
      <c r="BT1092" s="3"/>
      <c r="BU1092" s="3"/>
    </row>
    <row r="1093" spans="1:73" ht="15">
      <c r="A1093"/>
      <c r="J1093"/>
      <c r="AA1093"/>
      <c r="AB1093"/>
      <c r="AC1093"/>
      <c r="AD1093"/>
      <c r="AE1093"/>
      <c r="AF1093"/>
      <c r="AG1093"/>
      <c r="AH1093"/>
      <c r="BQ1093" s="2"/>
      <c r="BR1093" s="3"/>
      <c r="BS1093" s="3"/>
      <c r="BT1093" s="3"/>
      <c r="BU1093" s="3"/>
    </row>
    <row r="1094" spans="1:73" ht="15">
      <c r="A1094"/>
      <c r="J1094"/>
      <c r="AA1094"/>
      <c r="AB1094"/>
      <c r="AC1094"/>
      <c r="AD1094"/>
      <c r="AE1094"/>
      <c r="AF1094"/>
      <c r="AG1094"/>
      <c r="AH1094"/>
      <c r="BQ1094" s="2"/>
      <c r="BR1094" s="3"/>
      <c r="BS1094" s="3"/>
      <c r="BT1094" s="3"/>
      <c r="BU1094" s="3"/>
    </row>
    <row r="1095" spans="1:73" ht="15">
      <c r="A1095"/>
      <c r="J1095"/>
      <c r="AA1095"/>
      <c r="AB1095"/>
      <c r="AC1095"/>
      <c r="AD1095"/>
      <c r="AE1095"/>
      <c r="AF1095"/>
      <c r="AG1095"/>
      <c r="AH1095"/>
      <c r="BQ1095" s="2"/>
      <c r="BR1095" s="3"/>
      <c r="BS1095" s="3"/>
      <c r="BT1095" s="3"/>
      <c r="BU1095" s="3"/>
    </row>
    <row r="1096" spans="1:73" ht="15">
      <c r="A1096"/>
      <c r="J1096"/>
      <c r="AA1096"/>
      <c r="AB1096"/>
      <c r="AC1096"/>
      <c r="AD1096"/>
      <c r="AE1096"/>
      <c r="AF1096"/>
      <c r="AG1096"/>
      <c r="AH1096"/>
      <c r="BQ1096" s="2"/>
      <c r="BR1096" s="3"/>
      <c r="BS1096" s="3"/>
      <c r="BT1096" s="3"/>
      <c r="BU1096" s="3"/>
    </row>
    <row r="1097" spans="1:73" ht="15">
      <c r="A1097"/>
      <c r="J1097"/>
      <c r="AA1097"/>
      <c r="AB1097"/>
      <c r="AC1097"/>
      <c r="AD1097"/>
      <c r="AE1097"/>
      <c r="AF1097"/>
      <c r="AG1097"/>
      <c r="AH1097"/>
      <c r="BQ1097" s="2"/>
      <c r="BR1097" s="3"/>
      <c r="BS1097" s="3"/>
      <c r="BT1097" s="3"/>
      <c r="BU1097" s="3"/>
    </row>
    <row r="1098" spans="1:73" ht="15">
      <c r="A1098"/>
      <c r="J1098"/>
      <c r="AA1098"/>
      <c r="AB1098"/>
      <c r="AC1098"/>
      <c r="AD1098"/>
      <c r="AE1098"/>
      <c r="AF1098"/>
      <c r="AG1098"/>
      <c r="AH1098"/>
      <c r="BQ1098" s="2"/>
      <c r="BR1098" s="3"/>
      <c r="BS1098" s="3"/>
      <c r="BT1098" s="3"/>
      <c r="BU1098" s="3"/>
    </row>
    <row r="1099" spans="1:73" ht="15">
      <c r="A1099"/>
      <c r="J1099"/>
      <c r="AA1099"/>
      <c r="AB1099"/>
      <c r="AC1099"/>
      <c r="AD1099"/>
      <c r="AE1099"/>
      <c r="AF1099"/>
      <c r="AG1099"/>
      <c r="AH1099"/>
      <c r="BQ1099" s="2"/>
      <c r="BR1099" s="3"/>
      <c r="BS1099" s="3"/>
      <c r="BT1099" s="3"/>
      <c r="BU1099" s="3"/>
    </row>
    <row r="1100" spans="1:73" ht="15">
      <c r="A1100"/>
      <c r="J1100"/>
      <c r="AA1100"/>
      <c r="AB1100"/>
      <c r="AC1100"/>
      <c r="AD1100"/>
      <c r="AE1100"/>
      <c r="AF1100"/>
      <c r="AG1100"/>
      <c r="AH1100"/>
      <c r="BQ1100" s="2"/>
      <c r="BR1100" s="3"/>
      <c r="BS1100" s="3"/>
      <c r="BT1100" s="3"/>
      <c r="BU1100" s="3"/>
    </row>
    <row r="1101" spans="1:73" ht="15">
      <c r="A1101"/>
      <c r="J1101"/>
      <c r="AA1101"/>
      <c r="AB1101"/>
      <c r="AC1101"/>
      <c r="AD1101"/>
      <c r="AE1101"/>
      <c r="AF1101"/>
      <c r="AG1101"/>
      <c r="AH1101"/>
      <c r="BQ1101" s="2"/>
      <c r="BR1101" s="3"/>
      <c r="BS1101" s="3"/>
      <c r="BT1101" s="3"/>
      <c r="BU1101" s="3"/>
    </row>
    <row r="1102" spans="1:73" ht="15">
      <c r="A1102"/>
      <c r="J1102"/>
      <c r="AA1102"/>
      <c r="AB1102"/>
      <c r="AC1102"/>
      <c r="AD1102"/>
      <c r="AE1102"/>
      <c r="AF1102"/>
      <c r="AG1102"/>
      <c r="AH1102"/>
      <c r="BQ1102" s="2"/>
      <c r="BR1102" s="3"/>
      <c r="BS1102" s="3"/>
      <c r="BT1102" s="3"/>
      <c r="BU1102" s="3"/>
    </row>
    <row r="1103" spans="1:73" ht="15">
      <c r="A1103"/>
      <c r="J1103"/>
      <c r="AA1103"/>
      <c r="AB1103"/>
      <c r="AC1103"/>
      <c r="AD1103"/>
      <c r="AE1103"/>
      <c r="AF1103"/>
      <c r="AG1103"/>
      <c r="AH1103"/>
      <c r="BQ1103" s="2"/>
      <c r="BR1103" s="3"/>
      <c r="BS1103" s="3"/>
      <c r="BT1103" s="3"/>
      <c r="BU1103" s="3"/>
    </row>
    <row r="1104" spans="1:73" ht="15">
      <c r="A1104"/>
      <c r="J1104"/>
      <c r="AA1104"/>
      <c r="AB1104"/>
      <c r="AC1104"/>
      <c r="AD1104"/>
      <c r="AE1104"/>
      <c r="AF1104"/>
      <c r="AG1104"/>
      <c r="AH1104"/>
      <c r="BQ1104" s="2"/>
      <c r="BR1104" s="3"/>
      <c r="BS1104" s="3"/>
      <c r="BT1104" s="3"/>
      <c r="BU1104" s="3"/>
    </row>
    <row r="1105" spans="1:73" ht="15">
      <c r="A1105"/>
      <c r="J1105"/>
      <c r="AA1105"/>
      <c r="AB1105"/>
      <c r="AC1105"/>
      <c r="AD1105"/>
      <c r="AE1105"/>
      <c r="AF1105"/>
      <c r="AG1105"/>
      <c r="AH1105"/>
      <c r="BQ1105" s="2"/>
      <c r="BR1105" s="3"/>
      <c r="BS1105" s="3"/>
      <c r="BT1105" s="3"/>
      <c r="BU1105" s="3"/>
    </row>
    <row r="1106" spans="1:73" ht="15">
      <c r="A1106"/>
      <c r="J1106"/>
      <c r="AA1106"/>
      <c r="AB1106"/>
      <c r="AC1106"/>
      <c r="AD1106"/>
      <c r="AE1106"/>
      <c r="AF1106"/>
      <c r="AG1106"/>
      <c r="AH1106"/>
      <c r="BQ1106" s="2"/>
      <c r="BR1106" s="3"/>
      <c r="BS1106" s="3"/>
      <c r="BT1106" s="3"/>
      <c r="BU1106" s="3"/>
    </row>
    <row r="1107" spans="1:73" ht="15">
      <c r="A1107"/>
      <c r="J1107"/>
      <c r="AA1107"/>
      <c r="AB1107"/>
      <c r="AC1107"/>
      <c r="AD1107"/>
      <c r="AE1107"/>
      <c r="AF1107"/>
      <c r="AG1107"/>
      <c r="AH1107"/>
      <c r="BQ1107" s="2"/>
      <c r="BR1107" s="3"/>
      <c r="BS1107" s="3"/>
      <c r="BT1107" s="3"/>
      <c r="BU1107" s="3"/>
    </row>
    <row r="1108" spans="1:73" ht="15">
      <c r="A1108"/>
      <c r="J1108"/>
      <c r="AA1108"/>
      <c r="AB1108"/>
      <c r="AC1108"/>
      <c r="AD1108"/>
      <c r="AE1108"/>
      <c r="AF1108"/>
      <c r="AG1108"/>
      <c r="AH1108"/>
      <c r="BQ1108" s="2"/>
      <c r="BR1108" s="3"/>
      <c r="BS1108" s="3"/>
      <c r="BT1108" s="3"/>
      <c r="BU1108" s="3"/>
    </row>
    <row r="1109" spans="1:73" ht="15">
      <c r="A1109"/>
      <c r="J1109"/>
      <c r="AA1109"/>
      <c r="AB1109"/>
      <c r="AC1109"/>
      <c r="AD1109"/>
      <c r="AE1109"/>
      <c r="AF1109"/>
      <c r="AG1109"/>
      <c r="AH1109"/>
      <c r="BQ1109" s="2"/>
      <c r="BR1109" s="3"/>
      <c r="BS1109" s="3"/>
      <c r="BT1109" s="3"/>
      <c r="BU1109" s="3"/>
    </row>
    <row r="1110" spans="1:73" ht="15">
      <c r="A1110"/>
      <c r="J1110"/>
      <c r="AA1110"/>
      <c r="AB1110"/>
      <c r="AC1110"/>
      <c r="AD1110"/>
      <c r="AE1110"/>
      <c r="AF1110"/>
      <c r="AG1110"/>
      <c r="AH1110"/>
      <c r="BQ1110" s="2"/>
      <c r="BR1110" s="3"/>
      <c r="BS1110" s="3"/>
      <c r="BT1110" s="3"/>
      <c r="BU1110" s="3"/>
    </row>
    <row r="1111" spans="1:73" ht="15">
      <c r="A1111"/>
      <c r="J1111"/>
      <c r="AA1111"/>
      <c r="AB1111"/>
      <c r="AC1111"/>
      <c r="AD1111"/>
      <c r="AE1111"/>
      <c r="AF1111"/>
      <c r="AG1111"/>
      <c r="AH1111"/>
      <c r="BQ1111" s="2"/>
      <c r="BR1111" s="3"/>
      <c r="BS1111" s="3"/>
      <c r="BT1111" s="3"/>
      <c r="BU1111" s="3"/>
    </row>
    <row r="1112" spans="1:73" ht="15">
      <c r="A1112"/>
      <c r="J1112"/>
      <c r="AA1112"/>
      <c r="AB1112"/>
      <c r="AC1112"/>
      <c r="AD1112"/>
      <c r="AE1112"/>
      <c r="AF1112"/>
      <c r="AG1112"/>
      <c r="AH1112"/>
      <c r="BQ1112" s="2"/>
      <c r="BR1112" s="3"/>
      <c r="BS1112" s="3"/>
      <c r="BT1112" s="3"/>
      <c r="BU1112" s="3"/>
    </row>
    <row r="1113" spans="1:73" ht="15">
      <c r="A1113"/>
      <c r="J1113"/>
      <c r="AA1113"/>
      <c r="AB1113"/>
      <c r="AC1113"/>
      <c r="AD1113"/>
      <c r="AE1113"/>
      <c r="AF1113"/>
      <c r="AG1113"/>
      <c r="AH1113"/>
      <c r="BQ1113" s="2"/>
      <c r="BR1113" s="3"/>
      <c r="BS1113" s="3"/>
      <c r="BT1113" s="3"/>
      <c r="BU1113" s="3"/>
    </row>
    <row r="1114" spans="1:73" ht="15">
      <c r="A1114"/>
      <c r="J1114"/>
      <c r="AA1114"/>
      <c r="AB1114"/>
      <c r="AC1114"/>
      <c r="AD1114"/>
      <c r="AE1114"/>
      <c r="AF1114"/>
      <c r="AG1114"/>
      <c r="AH1114"/>
      <c r="BQ1114" s="2"/>
      <c r="BR1114" s="3"/>
      <c r="BS1114" s="3"/>
      <c r="BT1114" s="3"/>
      <c r="BU1114" s="3"/>
    </row>
    <row r="1115" spans="1:73" ht="15">
      <c r="A1115"/>
      <c r="J1115"/>
      <c r="AA1115"/>
      <c r="AB1115"/>
      <c r="AC1115"/>
      <c r="AD1115"/>
      <c r="AE1115"/>
      <c r="AF1115"/>
      <c r="AG1115"/>
      <c r="AH1115"/>
      <c r="BQ1115" s="2"/>
      <c r="BR1115" s="3"/>
      <c r="BS1115" s="3"/>
      <c r="BT1115" s="3"/>
      <c r="BU1115" s="3"/>
    </row>
    <row r="1116" spans="1:73" ht="15">
      <c r="A1116"/>
      <c r="J1116"/>
      <c r="AA1116"/>
      <c r="AB1116"/>
      <c r="AC1116"/>
      <c r="AD1116"/>
      <c r="AE1116"/>
      <c r="AF1116"/>
      <c r="AG1116"/>
      <c r="AH1116"/>
      <c r="BQ1116" s="2"/>
      <c r="BR1116" s="3"/>
      <c r="BS1116" s="3"/>
      <c r="BT1116" s="3"/>
      <c r="BU1116" s="3"/>
    </row>
    <row r="1117" spans="1:73" ht="15">
      <c r="A1117"/>
      <c r="J1117"/>
      <c r="AA1117"/>
      <c r="AB1117"/>
      <c r="AC1117"/>
      <c r="AD1117"/>
      <c r="AE1117"/>
      <c r="AF1117"/>
      <c r="AG1117"/>
      <c r="AH1117"/>
      <c r="BQ1117" s="2"/>
      <c r="BR1117" s="3"/>
      <c r="BS1117" s="3"/>
      <c r="BT1117" s="3"/>
      <c r="BU1117" s="3"/>
    </row>
    <row r="1118" spans="1:73" ht="15">
      <c r="A1118"/>
      <c r="J1118"/>
      <c r="AA1118"/>
      <c r="AB1118"/>
      <c r="AC1118"/>
      <c r="AD1118"/>
      <c r="AE1118"/>
      <c r="AF1118"/>
      <c r="AG1118"/>
      <c r="AH1118"/>
      <c r="BQ1118" s="2"/>
      <c r="BR1118" s="3"/>
      <c r="BS1118" s="3"/>
      <c r="BT1118" s="3"/>
      <c r="BU1118" s="3"/>
    </row>
    <row r="1119" spans="1:73" ht="15">
      <c r="A1119"/>
      <c r="J1119"/>
      <c r="AA1119"/>
      <c r="AB1119"/>
      <c r="AC1119"/>
      <c r="AD1119"/>
      <c r="AE1119"/>
      <c r="AF1119"/>
      <c r="AG1119"/>
      <c r="AH1119"/>
      <c r="BQ1119" s="2"/>
      <c r="BR1119" s="3"/>
      <c r="BS1119" s="3"/>
      <c r="BT1119" s="3"/>
      <c r="BU1119" s="3"/>
    </row>
    <row r="1120" spans="1:73" ht="15">
      <c r="A1120"/>
      <c r="J1120"/>
      <c r="AA1120"/>
      <c r="AB1120"/>
      <c r="AC1120"/>
      <c r="AD1120"/>
      <c r="AE1120"/>
      <c r="AF1120"/>
      <c r="AG1120"/>
      <c r="AH1120"/>
      <c r="BQ1120" s="2"/>
      <c r="BR1120" s="3"/>
      <c r="BS1120" s="3"/>
      <c r="BT1120" s="3"/>
      <c r="BU1120" s="3"/>
    </row>
    <row r="1121" spans="1:73" ht="15">
      <c r="A1121"/>
      <c r="J1121"/>
      <c r="AA1121"/>
      <c r="AB1121"/>
      <c r="AC1121"/>
      <c r="AD1121"/>
      <c r="AE1121"/>
      <c r="AF1121"/>
      <c r="AG1121"/>
      <c r="AH1121"/>
      <c r="BQ1121" s="2"/>
      <c r="BR1121" s="3"/>
      <c r="BS1121" s="3"/>
      <c r="BT1121" s="3"/>
      <c r="BU1121" s="3"/>
    </row>
    <row r="1122" spans="1:73" ht="15">
      <c r="A1122"/>
      <c r="J1122"/>
      <c r="AA1122"/>
      <c r="AB1122"/>
      <c r="AC1122"/>
      <c r="AD1122"/>
      <c r="AE1122"/>
      <c r="AF1122"/>
      <c r="AG1122"/>
      <c r="AH1122"/>
      <c r="BQ1122" s="2"/>
      <c r="BR1122" s="3"/>
      <c r="BS1122" s="3"/>
      <c r="BT1122" s="3"/>
      <c r="BU1122" s="3"/>
    </row>
    <row r="1123" spans="1:73" ht="15">
      <c r="A1123"/>
      <c r="J1123"/>
      <c r="AA1123"/>
      <c r="AB1123"/>
      <c r="AC1123"/>
      <c r="AD1123"/>
      <c r="AE1123"/>
      <c r="AF1123"/>
      <c r="AG1123"/>
      <c r="AH1123"/>
      <c r="BQ1123" s="2"/>
      <c r="BR1123" s="3"/>
      <c r="BS1123" s="3"/>
      <c r="BT1123" s="3"/>
      <c r="BU1123" s="3"/>
    </row>
    <row r="1124" spans="1:73" ht="15">
      <c r="A1124"/>
      <c r="J1124"/>
      <c r="AA1124"/>
      <c r="AB1124"/>
      <c r="AC1124"/>
      <c r="AD1124"/>
      <c r="AE1124"/>
      <c r="AF1124"/>
      <c r="AG1124"/>
      <c r="AH1124"/>
      <c r="BQ1124" s="2"/>
      <c r="BR1124" s="3"/>
      <c r="BS1124" s="3"/>
      <c r="BT1124" s="3"/>
      <c r="BU1124" s="3"/>
    </row>
    <row r="1125" spans="1:73" ht="15">
      <c r="A1125"/>
      <c r="J1125"/>
      <c r="AA1125"/>
      <c r="AB1125"/>
      <c r="AC1125"/>
      <c r="AD1125"/>
      <c r="AE1125"/>
      <c r="AF1125"/>
      <c r="AG1125"/>
      <c r="AH1125"/>
      <c r="BQ1125" s="2"/>
      <c r="BR1125" s="3"/>
      <c r="BS1125" s="3"/>
      <c r="BT1125" s="3"/>
      <c r="BU1125" s="3"/>
    </row>
    <row r="1126" spans="1:73" ht="15">
      <c r="A1126"/>
      <c r="J1126"/>
      <c r="AA1126"/>
      <c r="AB1126"/>
      <c r="AC1126"/>
      <c r="AD1126"/>
      <c r="AE1126"/>
      <c r="AF1126"/>
      <c r="AG1126"/>
      <c r="AH1126"/>
      <c r="BQ1126" s="2"/>
      <c r="BR1126" s="3"/>
      <c r="BS1126" s="3"/>
      <c r="BT1126" s="3"/>
      <c r="BU1126" s="3"/>
    </row>
    <row r="1127" spans="1:73" ht="15">
      <c r="A1127"/>
      <c r="J1127"/>
      <c r="AA1127"/>
      <c r="AB1127"/>
      <c r="AC1127"/>
      <c r="AD1127"/>
      <c r="AE1127"/>
      <c r="AF1127"/>
      <c r="AG1127"/>
      <c r="AH1127"/>
      <c r="BQ1127" s="2"/>
      <c r="BR1127" s="3"/>
      <c r="BS1127" s="3"/>
      <c r="BT1127" s="3"/>
      <c r="BU1127" s="3"/>
    </row>
    <row r="1128" spans="1:73" ht="15">
      <c r="A1128"/>
      <c r="J1128"/>
      <c r="AA1128"/>
      <c r="AB1128"/>
      <c r="AC1128"/>
      <c r="AD1128"/>
      <c r="AE1128"/>
      <c r="AF1128"/>
      <c r="AG1128"/>
      <c r="AH1128"/>
      <c r="BQ1128" s="2"/>
      <c r="BR1128" s="3"/>
      <c r="BS1128" s="3"/>
      <c r="BT1128" s="3"/>
      <c r="BU1128" s="3"/>
    </row>
    <row r="1129" spans="1:73" ht="15">
      <c r="A1129"/>
      <c r="J1129"/>
      <c r="AA1129"/>
      <c r="AB1129"/>
      <c r="AC1129"/>
      <c r="AD1129"/>
      <c r="AE1129"/>
      <c r="AF1129"/>
      <c r="AG1129"/>
      <c r="AH1129"/>
      <c r="BQ1129" s="2"/>
      <c r="BR1129" s="3"/>
      <c r="BS1129" s="3"/>
      <c r="BT1129" s="3"/>
      <c r="BU1129" s="3"/>
    </row>
    <row r="1130" spans="1:73" ht="15">
      <c r="A1130"/>
      <c r="J1130"/>
      <c r="AA1130"/>
      <c r="AB1130"/>
      <c r="AC1130"/>
      <c r="AD1130"/>
      <c r="AE1130"/>
      <c r="AF1130"/>
      <c r="AG1130"/>
      <c r="AH1130"/>
      <c r="BQ1130" s="2"/>
      <c r="BR1130" s="3"/>
      <c r="BS1130" s="3"/>
      <c r="BT1130" s="3"/>
      <c r="BU1130" s="3"/>
    </row>
    <row r="1131" spans="1:73" ht="15">
      <c r="A1131"/>
      <c r="J1131"/>
      <c r="AA1131"/>
      <c r="AB1131"/>
      <c r="AC1131"/>
      <c r="AD1131"/>
      <c r="AE1131"/>
      <c r="AF1131"/>
      <c r="AG1131"/>
      <c r="AH1131"/>
      <c r="BQ1131" s="2"/>
      <c r="BR1131" s="3"/>
      <c r="BS1131" s="3"/>
      <c r="BT1131" s="3"/>
      <c r="BU1131" s="3"/>
    </row>
    <row r="1132" spans="1:73" ht="15">
      <c r="A1132"/>
      <c r="J1132"/>
      <c r="AA1132"/>
      <c r="AB1132"/>
      <c r="AC1132"/>
      <c r="AD1132"/>
      <c r="AE1132"/>
      <c r="AF1132"/>
      <c r="AG1132"/>
      <c r="AH1132"/>
      <c r="BQ1132" s="2"/>
      <c r="BR1132" s="3"/>
      <c r="BS1132" s="3"/>
      <c r="BT1132" s="3"/>
      <c r="BU1132" s="3"/>
    </row>
    <row r="1133" spans="1:73" ht="15">
      <c r="A1133"/>
      <c r="J1133"/>
      <c r="AA1133"/>
      <c r="AB1133"/>
      <c r="AC1133"/>
      <c r="AD1133"/>
      <c r="AE1133"/>
      <c r="AF1133"/>
      <c r="AG1133"/>
      <c r="AH1133"/>
      <c r="BQ1133" s="2"/>
      <c r="BR1133" s="3"/>
      <c r="BS1133" s="3"/>
      <c r="BT1133" s="3"/>
      <c r="BU1133" s="3"/>
    </row>
    <row r="1134" spans="1:73" ht="15">
      <c r="A1134"/>
      <c r="J1134"/>
      <c r="AA1134"/>
      <c r="AB1134"/>
      <c r="AC1134"/>
      <c r="AD1134"/>
      <c r="AE1134"/>
      <c r="AF1134"/>
      <c r="AG1134"/>
      <c r="AH1134"/>
      <c r="BQ1134" s="2"/>
      <c r="BR1134" s="3"/>
      <c r="BS1134" s="3"/>
      <c r="BT1134" s="3"/>
      <c r="BU1134" s="3"/>
    </row>
    <row r="1135" spans="1:73" ht="15">
      <c r="A1135"/>
      <c r="J1135"/>
      <c r="AA1135"/>
      <c r="AB1135"/>
      <c r="AC1135"/>
      <c r="AD1135"/>
      <c r="AE1135"/>
      <c r="AF1135"/>
      <c r="AG1135"/>
      <c r="AH1135"/>
      <c r="BQ1135" s="2"/>
      <c r="BR1135" s="3"/>
      <c r="BS1135" s="3"/>
      <c r="BT1135" s="3"/>
      <c r="BU1135" s="3"/>
    </row>
    <row r="1136" spans="1:73" ht="15">
      <c r="A1136"/>
      <c r="J1136"/>
      <c r="AA1136"/>
      <c r="AB1136"/>
      <c r="AC1136"/>
      <c r="AD1136"/>
      <c r="AE1136"/>
      <c r="AF1136"/>
      <c r="AG1136"/>
      <c r="AH1136"/>
      <c r="BQ1136" s="2"/>
      <c r="BR1136" s="3"/>
      <c r="BS1136" s="3"/>
      <c r="BT1136" s="3"/>
      <c r="BU1136" s="3"/>
    </row>
    <row r="1137" spans="1:73" ht="15">
      <c r="A1137"/>
      <c r="J1137"/>
      <c r="AA1137"/>
      <c r="AB1137"/>
      <c r="AC1137"/>
      <c r="AD1137"/>
      <c r="AE1137"/>
      <c r="AF1137"/>
      <c r="AG1137"/>
      <c r="AH1137"/>
      <c r="BQ1137" s="2"/>
      <c r="BR1137" s="3"/>
      <c r="BS1137" s="3"/>
      <c r="BT1137" s="3"/>
      <c r="BU1137" s="3"/>
    </row>
    <row r="1138" spans="1:73" ht="15">
      <c r="A1138"/>
      <c r="J1138"/>
      <c r="AA1138"/>
      <c r="AB1138"/>
      <c r="AC1138"/>
      <c r="AD1138"/>
      <c r="AE1138"/>
      <c r="AF1138"/>
      <c r="AG1138"/>
      <c r="AH1138"/>
      <c r="BQ1138" s="2"/>
      <c r="BR1138" s="3"/>
      <c r="BS1138" s="3"/>
      <c r="BT1138" s="3"/>
      <c r="BU1138" s="3"/>
    </row>
    <row r="1139" spans="1:73" ht="15">
      <c r="A1139"/>
      <c r="J1139"/>
      <c r="AA1139"/>
      <c r="AB1139"/>
      <c r="AC1139"/>
      <c r="AD1139"/>
      <c r="AE1139"/>
      <c r="AF1139"/>
      <c r="AG1139"/>
      <c r="AH1139"/>
      <c r="BQ1139" s="2"/>
      <c r="BR1139" s="3"/>
      <c r="BS1139" s="3"/>
      <c r="BT1139" s="3"/>
      <c r="BU1139" s="3"/>
    </row>
    <row r="1140" spans="1:73" ht="15">
      <c r="A1140"/>
      <c r="J1140"/>
      <c r="AA1140"/>
      <c r="AB1140"/>
      <c r="AC1140"/>
      <c r="AD1140"/>
      <c r="AE1140"/>
      <c r="AF1140"/>
      <c r="AG1140"/>
      <c r="AH1140"/>
      <c r="BQ1140" s="2"/>
      <c r="BR1140" s="3"/>
      <c r="BS1140" s="3"/>
      <c r="BT1140" s="3"/>
      <c r="BU1140" s="3"/>
    </row>
    <row r="1141" spans="1:73" ht="15">
      <c r="A1141"/>
      <c r="J1141"/>
      <c r="AA1141"/>
      <c r="AB1141"/>
      <c r="AC1141"/>
      <c r="AD1141"/>
      <c r="AE1141"/>
      <c r="AF1141"/>
      <c r="AG1141"/>
      <c r="AH1141"/>
      <c r="BQ1141" s="2"/>
      <c r="BR1141" s="3"/>
      <c r="BS1141" s="3"/>
      <c r="BT1141" s="3"/>
      <c r="BU1141" s="3"/>
    </row>
    <row r="1142" spans="1:73" ht="15">
      <c r="A1142"/>
      <c r="J1142"/>
      <c r="AA1142"/>
      <c r="AB1142"/>
      <c r="AC1142"/>
      <c r="AD1142"/>
      <c r="AE1142"/>
      <c r="AF1142"/>
      <c r="AG1142"/>
      <c r="AH1142"/>
      <c r="BQ1142" s="2"/>
      <c r="BR1142" s="3"/>
      <c r="BS1142" s="3"/>
      <c r="BT1142" s="3"/>
      <c r="BU1142" s="3"/>
    </row>
    <row r="1143" spans="1:73" ht="15">
      <c r="A1143"/>
      <c r="J1143"/>
      <c r="AA1143"/>
      <c r="AB1143"/>
      <c r="AC1143"/>
      <c r="AD1143"/>
      <c r="AE1143"/>
      <c r="AF1143"/>
      <c r="AG1143"/>
      <c r="AH1143"/>
      <c r="BQ1143" s="2"/>
      <c r="BR1143" s="3"/>
      <c r="BS1143" s="3"/>
      <c r="BT1143" s="3"/>
      <c r="BU1143" s="3"/>
    </row>
    <row r="1144" spans="1:73" ht="15">
      <c r="A1144"/>
      <c r="J1144"/>
      <c r="AA1144"/>
      <c r="AB1144"/>
      <c r="AC1144"/>
      <c r="AD1144"/>
      <c r="AE1144"/>
      <c r="AF1144"/>
      <c r="AG1144"/>
      <c r="AH1144"/>
      <c r="BQ1144" s="2"/>
      <c r="BR1144" s="3"/>
      <c r="BS1144" s="3"/>
      <c r="BT1144" s="3"/>
      <c r="BU1144" s="3"/>
    </row>
    <row r="1145" spans="1:73" ht="15">
      <c r="A1145"/>
      <c r="J1145"/>
      <c r="AA1145"/>
      <c r="AB1145"/>
      <c r="AC1145"/>
      <c r="AD1145"/>
      <c r="AE1145"/>
      <c r="AF1145"/>
      <c r="AG1145"/>
      <c r="AH1145"/>
      <c r="BQ1145" s="2"/>
      <c r="BR1145" s="3"/>
      <c r="BS1145" s="3"/>
      <c r="BT1145" s="3"/>
      <c r="BU1145" s="3"/>
    </row>
    <row r="1146" spans="1:73" ht="15">
      <c r="A1146"/>
      <c r="J1146"/>
      <c r="AA1146"/>
      <c r="AB1146"/>
      <c r="AC1146"/>
      <c r="AD1146"/>
      <c r="AE1146"/>
      <c r="AF1146"/>
      <c r="AG1146"/>
      <c r="AH1146"/>
      <c r="BQ1146" s="2"/>
      <c r="BR1146" s="3"/>
      <c r="BS1146" s="3"/>
      <c r="BT1146" s="3"/>
      <c r="BU1146" s="3"/>
    </row>
    <row r="1147" spans="1:73" ht="15">
      <c r="A1147"/>
      <c r="J1147"/>
      <c r="AA1147"/>
      <c r="AB1147"/>
      <c r="AC1147"/>
      <c r="AD1147"/>
      <c r="AE1147"/>
      <c r="AF1147"/>
      <c r="AG1147"/>
      <c r="AH1147"/>
      <c r="BQ1147" s="2"/>
      <c r="BR1147" s="3"/>
      <c r="BS1147" s="3"/>
      <c r="BT1147" s="3"/>
      <c r="BU1147" s="3"/>
    </row>
    <row r="1148" spans="1:73" ht="15">
      <c r="A1148"/>
      <c r="J1148"/>
      <c r="AA1148"/>
      <c r="AB1148"/>
      <c r="AC1148"/>
      <c r="AD1148"/>
      <c r="AE1148"/>
      <c r="AF1148"/>
      <c r="AG1148"/>
      <c r="AH1148"/>
      <c r="BQ1148" s="2"/>
      <c r="BR1148" s="3"/>
      <c r="BS1148" s="3"/>
      <c r="BT1148" s="3"/>
      <c r="BU1148" s="3"/>
    </row>
    <row r="1149" spans="1:73" ht="15">
      <c r="A1149"/>
      <c r="J1149"/>
      <c r="AA1149"/>
      <c r="AB1149"/>
      <c r="AC1149"/>
      <c r="AD1149"/>
      <c r="AE1149"/>
      <c r="AF1149"/>
      <c r="AG1149"/>
      <c r="AH1149"/>
      <c r="BQ1149" s="2"/>
      <c r="BR1149" s="3"/>
      <c r="BS1149" s="3"/>
      <c r="BT1149" s="3"/>
      <c r="BU1149" s="3"/>
    </row>
    <row r="1150" spans="1:73" ht="15">
      <c r="A1150"/>
      <c r="J1150"/>
      <c r="AA1150"/>
      <c r="AB1150"/>
      <c r="AC1150"/>
      <c r="AD1150"/>
      <c r="AE1150"/>
      <c r="AF1150"/>
      <c r="AG1150"/>
      <c r="AH1150"/>
      <c r="BQ1150" s="2"/>
      <c r="BR1150" s="3"/>
      <c r="BS1150" s="3"/>
      <c r="BT1150" s="3"/>
      <c r="BU1150" s="3"/>
    </row>
    <row r="1151" spans="1:73" ht="15">
      <c r="A1151"/>
      <c r="J1151"/>
      <c r="AA1151"/>
      <c r="AB1151"/>
      <c r="AC1151"/>
      <c r="AD1151"/>
      <c r="AE1151"/>
      <c r="AF1151"/>
      <c r="AG1151"/>
      <c r="AH1151"/>
      <c r="BQ1151" s="2"/>
      <c r="BR1151" s="3"/>
      <c r="BS1151" s="3"/>
      <c r="BT1151" s="3"/>
      <c r="BU1151" s="3"/>
    </row>
    <row r="1152" spans="1:73" ht="15">
      <c r="A1152"/>
      <c r="J1152"/>
      <c r="AA1152"/>
      <c r="AB1152"/>
      <c r="AC1152"/>
      <c r="AD1152"/>
      <c r="AE1152"/>
      <c r="AF1152"/>
      <c r="AG1152"/>
      <c r="AH1152"/>
      <c r="BQ1152" s="2"/>
      <c r="BR1152" s="3"/>
      <c r="BS1152" s="3"/>
      <c r="BT1152" s="3"/>
      <c r="BU1152" s="3"/>
    </row>
    <row r="1153" spans="1:73" ht="15">
      <c r="A1153"/>
      <c r="J1153"/>
      <c r="AA1153"/>
      <c r="AB1153"/>
      <c r="AC1153"/>
      <c r="AD1153"/>
      <c r="AE1153"/>
      <c r="AF1153"/>
      <c r="AG1153"/>
      <c r="AH1153"/>
      <c r="BQ1153" s="2"/>
      <c r="BR1153" s="3"/>
      <c r="BS1153" s="3"/>
      <c r="BT1153" s="3"/>
      <c r="BU1153" s="3"/>
    </row>
    <row r="1154" spans="1:73" ht="15">
      <c r="A1154"/>
      <c r="J1154"/>
      <c r="AA1154"/>
      <c r="AB1154"/>
      <c r="AC1154"/>
      <c r="AD1154"/>
      <c r="AE1154"/>
      <c r="AF1154"/>
      <c r="AG1154"/>
      <c r="AH1154"/>
      <c r="BQ1154" s="2"/>
      <c r="BR1154" s="3"/>
      <c r="BS1154" s="3"/>
      <c r="BT1154" s="3"/>
      <c r="BU1154" s="3"/>
    </row>
    <row r="1155" spans="1:73" ht="15">
      <c r="A1155"/>
      <c r="J1155"/>
      <c r="AA1155"/>
      <c r="AB1155"/>
      <c r="AC1155"/>
      <c r="AD1155"/>
      <c r="AE1155"/>
      <c r="AF1155"/>
      <c r="AG1155"/>
      <c r="AH1155"/>
      <c r="BQ1155" s="2"/>
      <c r="BR1155" s="3"/>
      <c r="BS1155" s="3"/>
      <c r="BT1155" s="3"/>
      <c r="BU1155" s="3"/>
    </row>
    <row r="1156" spans="1:73" ht="15">
      <c r="A1156"/>
      <c r="J1156"/>
      <c r="AA1156"/>
      <c r="AB1156"/>
      <c r="AC1156"/>
      <c r="AD1156"/>
      <c r="AE1156"/>
      <c r="AF1156"/>
      <c r="AG1156"/>
      <c r="AH1156"/>
      <c r="BQ1156" s="2"/>
      <c r="BR1156" s="3"/>
      <c r="BS1156" s="3"/>
      <c r="BT1156" s="3"/>
      <c r="BU1156" s="3"/>
    </row>
    <row r="1157" spans="1:73" ht="15">
      <c r="A1157"/>
      <c r="J1157"/>
      <c r="AA1157"/>
      <c r="AB1157"/>
      <c r="AC1157"/>
      <c r="AD1157"/>
      <c r="AE1157"/>
      <c r="AF1157"/>
      <c r="AG1157"/>
      <c r="AH1157"/>
      <c r="BQ1157" s="2"/>
      <c r="BR1157" s="3"/>
      <c r="BS1157" s="3"/>
      <c r="BT1157" s="3"/>
      <c r="BU1157" s="3"/>
    </row>
    <row r="1158" spans="1:73" ht="15">
      <c r="A1158"/>
      <c r="J1158"/>
      <c r="AA1158"/>
      <c r="AB1158"/>
      <c r="AC1158"/>
      <c r="AD1158"/>
      <c r="AE1158"/>
      <c r="AF1158"/>
      <c r="AG1158"/>
      <c r="AH1158"/>
      <c r="BQ1158" s="2"/>
      <c r="BR1158" s="3"/>
      <c r="BS1158" s="3"/>
      <c r="BT1158" s="3"/>
      <c r="BU1158" s="3"/>
    </row>
    <row r="1159" spans="1:73" ht="15">
      <c r="A1159"/>
      <c r="J1159"/>
      <c r="AA1159"/>
      <c r="AB1159"/>
      <c r="AC1159"/>
      <c r="AD1159"/>
      <c r="AE1159"/>
      <c r="AF1159"/>
      <c r="AG1159"/>
      <c r="AH1159"/>
      <c r="BQ1159" s="2"/>
      <c r="BR1159" s="3"/>
      <c r="BS1159" s="3"/>
      <c r="BT1159" s="3"/>
      <c r="BU1159" s="3"/>
    </row>
    <row r="1160" spans="1:73" ht="15">
      <c r="A1160"/>
      <c r="J1160"/>
      <c r="AA1160"/>
      <c r="AB1160"/>
      <c r="AC1160"/>
      <c r="AD1160"/>
      <c r="AE1160"/>
      <c r="AF1160"/>
      <c r="AG1160"/>
      <c r="AH1160"/>
      <c r="BQ1160" s="2"/>
      <c r="BR1160" s="3"/>
      <c r="BS1160" s="3"/>
      <c r="BT1160" s="3"/>
      <c r="BU1160" s="3"/>
    </row>
    <row r="1161" spans="1:73" ht="15">
      <c r="A1161"/>
      <c r="J1161"/>
      <c r="AA1161"/>
      <c r="AB1161"/>
      <c r="AC1161"/>
      <c r="AD1161"/>
      <c r="AE1161"/>
      <c r="AF1161"/>
      <c r="AG1161"/>
      <c r="AH1161"/>
      <c r="BQ1161" s="2"/>
      <c r="BR1161" s="3"/>
      <c r="BS1161" s="3"/>
      <c r="BT1161" s="3"/>
      <c r="BU1161" s="3"/>
    </row>
    <row r="1162" spans="1:73" ht="15">
      <c r="A1162"/>
      <c r="J1162"/>
      <c r="AA1162"/>
      <c r="AB1162"/>
      <c r="AC1162"/>
      <c r="AD1162"/>
      <c r="AE1162"/>
      <c r="AF1162"/>
      <c r="AG1162"/>
      <c r="AH1162"/>
      <c r="BQ1162" s="2"/>
      <c r="BR1162" s="3"/>
      <c r="BS1162" s="3"/>
      <c r="BT1162" s="3"/>
      <c r="BU1162" s="3"/>
    </row>
    <row r="1163" spans="1:73" ht="15">
      <c r="A1163"/>
      <c r="J1163"/>
      <c r="AA1163"/>
      <c r="AB1163"/>
      <c r="AC1163"/>
      <c r="AD1163"/>
      <c r="AE1163"/>
      <c r="AF1163"/>
      <c r="AG1163"/>
      <c r="AH1163"/>
      <c r="BQ1163" s="2"/>
      <c r="BR1163" s="3"/>
      <c r="BS1163" s="3"/>
      <c r="BT1163" s="3"/>
      <c r="BU1163" s="3"/>
    </row>
    <row r="1164" spans="1:73" ht="15">
      <c r="A1164"/>
      <c r="J1164"/>
      <c r="AA1164"/>
      <c r="AB1164"/>
      <c r="AC1164"/>
      <c r="AD1164"/>
      <c r="AE1164"/>
      <c r="AF1164"/>
      <c r="AG1164"/>
      <c r="AH1164"/>
      <c r="BQ1164" s="2"/>
      <c r="BR1164" s="3"/>
      <c r="BS1164" s="3"/>
      <c r="BT1164" s="3"/>
      <c r="BU1164" s="3"/>
    </row>
    <row r="1165" spans="1:73" ht="15">
      <c r="A1165"/>
      <c r="J1165"/>
      <c r="AA1165"/>
      <c r="AB1165"/>
      <c r="AC1165"/>
      <c r="AD1165"/>
      <c r="AE1165"/>
      <c r="AF1165"/>
      <c r="AG1165"/>
      <c r="AH1165"/>
      <c r="BQ1165" s="2"/>
      <c r="BR1165" s="3"/>
      <c r="BS1165" s="3"/>
      <c r="BT1165" s="3"/>
      <c r="BU1165" s="3"/>
    </row>
    <row r="1166" spans="1:73" ht="15">
      <c r="A1166"/>
      <c r="J1166"/>
      <c r="AA1166"/>
      <c r="AB1166"/>
      <c r="AC1166"/>
      <c r="AD1166"/>
      <c r="AE1166"/>
      <c r="AF1166"/>
      <c r="AG1166"/>
      <c r="AH1166"/>
      <c r="BQ1166" s="2"/>
      <c r="BR1166" s="3"/>
      <c r="BS1166" s="3"/>
      <c r="BT1166" s="3"/>
      <c r="BU1166" s="3"/>
    </row>
    <row r="1167" spans="1:73" ht="15">
      <c r="A1167"/>
      <c r="J1167"/>
      <c r="AA1167"/>
      <c r="AB1167"/>
      <c r="AC1167"/>
      <c r="AD1167"/>
      <c r="AE1167"/>
      <c r="AF1167"/>
      <c r="AG1167"/>
      <c r="AH1167"/>
      <c r="BQ1167" s="2"/>
      <c r="BR1167" s="3"/>
      <c r="BS1167" s="3"/>
      <c r="BT1167" s="3"/>
      <c r="BU1167" s="3"/>
    </row>
    <row r="1168" spans="1:73" ht="15">
      <c r="A1168"/>
      <c r="J1168"/>
      <c r="AA1168"/>
      <c r="AB1168"/>
      <c r="AC1168"/>
      <c r="AD1168"/>
      <c r="AE1168"/>
      <c r="AF1168"/>
      <c r="AG1168"/>
      <c r="AH1168"/>
      <c r="BQ1168" s="2"/>
      <c r="BR1168" s="3"/>
      <c r="BS1168" s="3"/>
      <c r="BT1168" s="3"/>
      <c r="BU1168" s="3"/>
    </row>
    <row r="1169" spans="1:73" ht="15">
      <c r="A1169"/>
      <c r="J1169"/>
      <c r="AA1169"/>
      <c r="AB1169"/>
      <c r="AC1169"/>
      <c r="AD1169"/>
      <c r="AE1169"/>
      <c r="AF1169"/>
      <c r="AG1169"/>
      <c r="AH1169"/>
      <c r="BQ1169" s="2"/>
      <c r="BR1169" s="3"/>
      <c r="BS1169" s="3"/>
      <c r="BT1169" s="3"/>
      <c r="BU1169" s="3"/>
    </row>
    <row r="1170" spans="1:73" ht="15">
      <c r="A1170"/>
      <c r="J1170"/>
      <c r="AA1170"/>
      <c r="AB1170"/>
      <c r="AC1170"/>
      <c r="AD1170"/>
      <c r="AE1170"/>
      <c r="AF1170"/>
      <c r="AG1170"/>
      <c r="AH1170"/>
      <c r="BQ1170" s="2"/>
      <c r="BR1170" s="3"/>
      <c r="BS1170" s="3"/>
      <c r="BT1170" s="3"/>
      <c r="BU1170" s="3"/>
    </row>
    <row r="1171" spans="1:73" ht="15">
      <c r="A1171"/>
      <c r="J1171"/>
      <c r="AA1171"/>
      <c r="AB1171"/>
      <c r="AC1171"/>
      <c r="AD1171"/>
      <c r="AE1171"/>
      <c r="AF1171"/>
      <c r="AG1171"/>
      <c r="AH1171"/>
      <c r="BQ1171" s="2"/>
      <c r="BR1171" s="3"/>
      <c r="BS1171" s="3"/>
      <c r="BT1171" s="3"/>
      <c r="BU1171" s="3"/>
    </row>
    <row r="1172" spans="1:73" ht="15">
      <c r="A1172"/>
      <c r="J1172"/>
      <c r="AA1172"/>
      <c r="AB1172"/>
      <c r="AC1172"/>
      <c r="AD1172"/>
      <c r="AE1172"/>
      <c r="AF1172"/>
      <c r="AG1172"/>
      <c r="AH1172"/>
      <c r="BQ1172" s="2"/>
      <c r="BR1172" s="3"/>
      <c r="BS1172" s="3"/>
      <c r="BT1172" s="3"/>
      <c r="BU1172" s="3"/>
    </row>
    <row r="1173" spans="1:73" ht="15">
      <c r="A1173"/>
      <c r="J1173"/>
      <c r="AA1173"/>
      <c r="AB1173"/>
      <c r="AC1173"/>
      <c r="AD1173"/>
      <c r="AE1173"/>
      <c r="AF1173"/>
      <c r="AG1173"/>
      <c r="AH1173"/>
      <c r="BQ1173" s="2"/>
      <c r="BR1173" s="3"/>
      <c r="BS1173" s="3"/>
      <c r="BT1173" s="3"/>
      <c r="BU1173" s="3"/>
    </row>
    <row r="1174" spans="1:73" ht="15">
      <c r="A1174"/>
      <c r="J1174"/>
      <c r="AA1174"/>
      <c r="AB1174"/>
      <c r="AC1174"/>
      <c r="AD1174"/>
      <c r="AE1174"/>
      <c r="AF1174"/>
      <c r="AG1174"/>
      <c r="AH1174"/>
      <c r="BQ1174" s="2"/>
      <c r="BR1174" s="3"/>
      <c r="BS1174" s="3"/>
      <c r="BT1174" s="3"/>
      <c r="BU1174" s="3"/>
    </row>
    <row r="1175" spans="1:73" ht="15">
      <c r="A1175"/>
      <c r="J1175"/>
      <c r="AA1175"/>
      <c r="AB1175"/>
      <c r="AC1175"/>
      <c r="AD1175"/>
      <c r="AE1175"/>
      <c r="AF1175"/>
      <c r="AG1175"/>
      <c r="AH1175"/>
      <c r="BQ1175" s="2"/>
      <c r="BR1175" s="3"/>
      <c r="BS1175" s="3"/>
      <c r="BT1175" s="3"/>
      <c r="BU1175" s="3"/>
    </row>
    <row r="1176" spans="1:73" ht="15">
      <c r="A1176"/>
      <c r="J1176"/>
      <c r="AA1176"/>
      <c r="AB1176"/>
      <c r="AC1176"/>
      <c r="AD1176"/>
      <c r="AE1176"/>
      <c r="AF1176"/>
      <c r="AG1176"/>
      <c r="AH1176"/>
      <c r="BQ1176" s="2"/>
      <c r="BR1176" s="3"/>
      <c r="BS1176" s="3"/>
      <c r="BT1176" s="3"/>
      <c r="BU1176" s="3"/>
    </row>
    <row r="1177" spans="1:73" ht="15">
      <c r="A1177"/>
      <c r="J1177"/>
      <c r="AA1177"/>
      <c r="AB1177"/>
      <c r="AC1177"/>
      <c r="AD1177"/>
      <c r="AE1177"/>
      <c r="AF1177"/>
      <c r="AG1177"/>
      <c r="AH1177"/>
      <c r="BQ1177" s="2"/>
      <c r="BR1177" s="3"/>
      <c r="BS1177" s="3"/>
      <c r="BT1177" s="3"/>
      <c r="BU1177" s="3"/>
    </row>
    <row r="1178" spans="1:73" ht="15">
      <c r="A1178"/>
      <c r="J1178"/>
      <c r="AA1178"/>
      <c r="AB1178"/>
      <c r="AC1178"/>
      <c r="AD1178"/>
      <c r="AE1178"/>
      <c r="AF1178"/>
      <c r="AG1178"/>
      <c r="AH1178"/>
      <c r="BQ1178" s="2"/>
      <c r="BR1178" s="3"/>
      <c r="BS1178" s="3"/>
      <c r="BT1178" s="3"/>
      <c r="BU1178" s="3"/>
    </row>
    <row r="1179" spans="1:73" ht="15">
      <c r="A1179"/>
      <c r="J1179"/>
      <c r="AA1179"/>
      <c r="AB1179"/>
      <c r="AC1179"/>
      <c r="AD1179"/>
      <c r="AE1179"/>
      <c r="AF1179"/>
      <c r="AG1179"/>
      <c r="AH1179"/>
      <c r="BQ1179" s="2"/>
      <c r="BR1179" s="3"/>
      <c r="BS1179" s="3"/>
      <c r="BT1179" s="3"/>
      <c r="BU1179" s="3"/>
    </row>
    <row r="1180" spans="1:73" ht="15">
      <c r="A1180"/>
      <c r="J1180"/>
      <c r="AA1180"/>
      <c r="AB1180"/>
      <c r="AC1180"/>
      <c r="AD1180"/>
      <c r="AE1180"/>
      <c r="AF1180"/>
      <c r="AG1180"/>
      <c r="AH1180"/>
      <c r="BQ1180" s="2"/>
      <c r="BR1180" s="3"/>
      <c r="BS1180" s="3"/>
      <c r="BT1180" s="3"/>
      <c r="BU1180" s="3"/>
    </row>
    <row r="1181" spans="1:73" ht="15">
      <c r="A1181"/>
      <c r="J1181"/>
      <c r="AA1181"/>
      <c r="AB1181"/>
      <c r="AC1181"/>
      <c r="AD1181"/>
      <c r="AE1181"/>
      <c r="AF1181"/>
      <c r="AG1181"/>
      <c r="AH1181"/>
      <c r="BQ1181" s="2"/>
      <c r="BR1181" s="3"/>
      <c r="BS1181" s="3"/>
      <c r="BT1181" s="3"/>
      <c r="BU1181" s="3"/>
    </row>
    <row r="1182" spans="1:73" ht="15">
      <c r="A1182"/>
      <c r="J1182"/>
      <c r="AA1182"/>
      <c r="AB1182"/>
      <c r="AC1182"/>
      <c r="AD1182"/>
      <c r="AE1182"/>
      <c r="AF1182"/>
      <c r="AG1182"/>
      <c r="AH1182"/>
      <c r="BQ1182" s="2"/>
      <c r="BR1182" s="3"/>
      <c r="BS1182" s="3"/>
      <c r="BT1182" s="3"/>
      <c r="BU1182" s="3"/>
    </row>
    <row r="1183" spans="1:73" ht="15">
      <c r="A1183"/>
      <c r="J1183"/>
      <c r="AA1183"/>
      <c r="AB1183"/>
      <c r="AC1183"/>
      <c r="AD1183"/>
      <c r="AE1183"/>
      <c r="AF1183"/>
      <c r="AG1183"/>
      <c r="AH1183"/>
      <c r="BQ1183" s="2"/>
      <c r="BR1183" s="3"/>
      <c r="BS1183" s="3"/>
      <c r="BT1183" s="3"/>
      <c r="BU1183" s="3"/>
    </row>
    <row r="1184" spans="1:73" ht="15">
      <c r="A1184"/>
      <c r="J1184"/>
      <c r="AA1184"/>
      <c r="AB1184"/>
      <c r="AC1184"/>
      <c r="AD1184"/>
      <c r="AE1184"/>
      <c r="AF1184"/>
      <c r="AG1184"/>
      <c r="AH1184"/>
      <c r="BQ1184" s="2"/>
      <c r="BR1184" s="3"/>
      <c r="BS1184" s="3"/>
      <c r="BT1184" s="3"/>
      <c r="BU1184" s="3"/>
    </row>
    <row r="1185" spans="1:73" ht="15">
      <c r="A1185"/>
      <c r="J1185"/>
      <c r="AA1185"/>
      <c r="AB1185"/>
      <c r="AC1185"/>
      <c r="AD1185"/>
      <c r="AE1185"/>
      <c r="AF1185"/>
      <c r="AG1185"/>
      <c r="AH1185"/>
      <c r="BQ1185" s="2"/>
      <c r="BR1185" s="3"/>
      <c r="BS1185" s="3"/>
      <c r="BT1185" s="3"/>
      <c r="BU1185" s="3"/>
    </row>
    <row r="1186" spans="1:73" ht="15">
      <c r="A1186"/>
      <c r="J1186"/>
      <c r="AA1186"/>
      <c r="AB1186"/>
      <c r="AC1186"/>
      <c r="AD1186"/>
      <c r="AE1186"/>
      <c r="AF1186"/>
      <c r="AG1186"/>
      <c r="AH1186"/>
      <c r="BQ1186" s="2"/>
      <c r="BR1186" s="3"/>
      <c r="BS1186" s="3"/>
      <c r="BT1186" s="3"/>
      <c r="BU1186" s="3"/>
    </row>
    <row r="1187" spans="1:73" ht="15">
      <c r="A1187"/>
      <c r="J1187"/>
      <c r="AA1187"/>
      <c r="AB1187"/>
      <c r="AC1187"/>
      <c r="AD1187"/>
      <c r="AE1187"/>
      <c r="AF1187"/>
      <c r="AG1187"/>
      <c r="AH1187"/>
      <c r="BQ1187" s="2"/>
      <c r="BR1187" s="3"/>
      <c r="BS1187" s="3"/>
      <c r="BT1187" s="3"/>
      <c r="BU1187" s="3"/>
    </row>
    <row r="1188" spans="1:73" ht="15">
      <c r="A1188"/>
      <c r="J1188"/>
      <c r="AA1188"/>
      <c r="AB1188"/>
      <c r="AC1188"/>
      <c r="AD1188"/>
      <c r="AE1188"/>
      <c r="AF1188"/>
      <c r="AG1188"/>
      <c r="AH1188"/>
      <c r="BQ1188" s="2"/>
      <c r="BR1188" s="3"/>
      <c r="BS1188" s="3"/>
      <c r="BT1188" s="3"/>
      <c r="BU1188" s="3"/>
    </row>
    <row r="1189" spans="1:73" ht="15">
      <c r="A1189"/>
      <c r="J1189"/>
      <c r="AA1189"/>
      <c r="AB1189"/>
      <c r="AC1189"/>
      <c r="AD1189"/>
      <c r="AE1189"/>
      <c r="AF1189"/>
      <c r="AG1189"/>
      <c r="AH1189"/>
      <c r="BQ1189" s="2"/>
      <c r="BR1189" s="3"/>
      <c r="BS1189" s="3"/>
      <c r="BT1189" s="3"/>
      <c r="BU1189" s="3"/>
    </row>
    <row r="1190" spans="1:73" ht="15">
      <c r="A1190"/>
      <c r="J1190"/>
      <c r="AA1190"/>
      <c r="AB1190"/>
      <c r="AC1190"/>
      <c r="AD1190"/>
      <c r="AE1190"/>
      <c r="AF1190"/>
      <c r="AG1190"/>
      <c r="AH1190"/>
      <c r="BQ1190" s="2"/>
      <c r="BR1190" s="3"/>
      <c r="BS1190" s="3"/>
      <c r="BT1190" s="3"/>
      <c r="BU1190" s="3"/>
    </row>
    <row r="1191" spans="1:73" ht="15">
      <c r="A1191"/>
      <c r="J1191"/>
      <c r="AA1191"/>
      <c r="AB1191"/>
      <c r="AC1191"/>
      <c r="AD1191"/>
      <c r="AE1191"/>
      <c r="AF1191"/>
      <c r="AG1191"/>
      <c r="AH1191"/>
      <c r="BQ1191" s="2"/>
      <c r="BR1191" s="3"/>
      <c r="BS1191" s="3"/>
      <c r="BT1191" s="3"/>
      <c r="BU1191" s="3"/>
    </row>
    <row r="1192" spans="1:73" ht="15">
      <c r="A1192"/>
      <c r="J1192"/>
      <c r="AA1192"/>
      <c r="AB1192"/>
      <c r="AC1192"/>
      <c r="AD1192"/>
      <c r="AE1192"/>
      <c r="AF1192"/>
      <c r="AG1192"/>
      <c r="AH1192"/>
      <c r="BQ1192" s="2"/>
      <c r="BR1192" s="3"/>
      <c r="BS1192" s="3"/>
      <c r="BT1192" s="3"/>
      <c r="BU1192" s="3"/>
    </row>
    <row r="1193" spans="1:73" ht="15">
      <c r="A1193"/>
      <c r="J1193"/>
      <c r="AA1193"/>
      <c r="AB1193"/>
      <c r="AC1193"/>
      <c r="AD1193"/>
      <c r="AE1193"/>
      <c r="AF1193"/>
      <c r="AG1193"/>
      <c r="AH1193"/>
      <c r="BQ1193" s="2"/>
      <c r="BR1193" s="3"/>
      <c r="BS1193" s="3"/>
      <c r="BT1193" s="3"/>
      <c r="BU1193" s="3"/>
    </row>
    <row r="1194" spans="1:73" ht="15">
      <c r="A1194"/>
      <c r="J1194"/>
      <c r="AA1194"/>
      <c r="AB1194"/>
      <c r="AC1194"/>
      <c r="AD1194"/>
      <c r="AE1194"/>
      <c r="AF1194"/>
      <c r="AG1194"/>
      <c r="AH1194"/>
      <c r="BQ1194" s="2"/>
      <c r="BR1194" s="3"/>
      <c r="BS1194" s="3"/>
      <c r="BT1194" s="3"/>
      <c r="BU1194" s="3"/>
    </row>
    <row r="1195" spans="1:73" ht="15">
      <c r="A1195"/>
      <c r="J1195"/>
      <c r="AA1195"/>
      <c r="AB1195"/>
      <c r="AC1195"/>
      <c r="AD1195"/>
      <c r="AE1195"/>
      <c r="AF1195"/>
      <c r="AG1195"/>
      <c r="AH1195"/>
      <c r="BQ1195" s="2"/>
      <c r="BR1195" s="3"/>
      <c r="BS1195" s="3"/>
      <c r="BT1195" s="3"/>
      <c r="BU1195" s="3"/>
    </row>
    <row r="1196" spans="1:73" ht="15">
      <c r="A1196"/>
      <c r="J1196"/>
      <c r="AA1196"/>
      <c r="AB1196"/>
      <c r="AC1196"/>
      <c r="AD1196"/>
      <c r="AE1196"/>
      <c r="AF1196"/>
      <c r="AG1196"/>
      <c r="AH1196"/>
      <c r="BQ1196" s="2"/>
      <c r="BR1196" s="3"/>
      <c r="BS1196" s="3"/>
      <c r="BT1196" s="3"/>
      <c r="BU1196" s="3"/>
    </row>
    <row r="1197" spans="1:73" ht="15">
      <c r="A1197"/>
      <c r="J1197"/>
      <c r="AA1197"/>
      <c r="AB1197"/>
      <c r="AC1197"/>
      <c r="AD1197"/>
      <c r="AE1197"/>
      <c r="AF1197"/>
      <c r="AG1197"/>
      <c r="AH1197"/>
      <c r="BQ1197" s="2"/>
      <c r="BR1197" s="3"/>
      <c r="BS1197" s="3"/>
      <c r="BT1197" s="3"/>
      <c r="BU1197" s="3"/>
    </row>
    <row r="1198" spans="1:73" ht="15">
      <c r="A1198"/>
      <c r="J1198"/>
      <c r="AA1198"/>
      <c r="AB1198"/>
      <c r="AC1198"/>
      <c r="AD1198"/>
      <c r="AE1198"/>
      <c r="AF1198"/>
      <c r="AG1198"/>
      <c r="AH1198"/>
      <c r="BQ1198" s="2"/>
      <c r="BR1198" s="3"/>
      <c r="BS1198" s="3"/>
      <c r="BT1198" s="3"/>
      <c r="BU1198" s="3"/>
    </row>
    <row r="1199" spans="1:73" ht="15">
      <c r="A1199"/>
      <c r="J1199"/>
      <c r="AA1199"/>
      <c r="AB1199"/>
      <c r="AC1199"/>
      <c r="AD1199"/>
      <c r="AE1199"/>
      <c r="AF1199"/>
      <c r="AG1199"/>
      <c r="AH1199"/>
      <c r="BQ1199" s="2"/>
      <c r="BR1199" s="3"/>
      <c r="BS1199" s="3"/>
      <c r="BT1199" s="3"/>
      <c r="BU1199" s="3"/>
    </row>
    <row r="1200" spans="1:73" ht="15">
      <c r="A1200"/>
      <c r="J1200"/>
      <c r="AA1200"/>
      <c r="AB1200"/>
      <c r="AC1200"/>
      <c r="AD1200"/>
      <c r="AE1200"/>
      <c r="AF1200"/>
      <c r="AG1200"/>
      <c r="AH1200"/>
      <c r="BQ1200" s="2"/>
      <c r="BR1200" s="3"/>
      <c r="BS1200" s="3"/>
      <c r="BT1200" s="3"/>
      <c r="BU1200" s="3"/>
    </row>
    <row r="1201" spans="1:73" ht="15">
      <c r="A1201"/>
      <c r="J1201"/>
      <c r="AA1201"/>
      <c r="AB1201"/>
      <c r="AC1201"/>
      <c r="AD1201"/>
      <c r="AE1201"/>
      <c r="AF1201"/>
      <c r="AG1201"/>
      <c r="AH1201"/>
      <c r="BQ1201" s="2"/>
      <c r="BR1201" s="3"/>
      <c r="BS1201" s="3"/>
      <c r="BT1201" s="3"/>
      <c r="BU1201" s="3"/>
    </row>
    <row r="1202" spans="1:73" ht="15">
      <c r="A1202"/>
      <c r="J1202"/>
      <c r="AA1202"/>
      <c r="AB1202"/>
      <c r="AC1202"/>
      <c r="AD1202"/>
      <c r="AE1202"/>
      <c r="AF1202"/>
      <c r="AG1202"/>
      <c r="AH1202"/>
      <c r="BQ1202" s="2"/>
      <c r="BR1202" s="3"/>
      <c r="BS1202" s="3"/>
      <c r="BT1202" s="3"/>
      <c r="BU1202" s="3"/>
    </row>
    <row r="1203" spans="1:73" ht="15">
      <c r="A1203"/>
      <c r="J1203"/>
      <c r="AA1203"/>
      <c r="AB1203"/>
      <c r="AC1203"/>
      <c r="AD1203"/>
      <c r="AE1203"/>
      <c r="AF1203"/>
      <c r="AG1203"/>
      <c r="AH1203"/>
      <c r="BQ1203" s="2"/>
      <c r="BR1203" s="3"/>
      <c r="BS1203" s="3"/>
      <c r="BT1203" s="3"/>
      <c r="BU1203" s="3"/>
    </row>
    <row r="1204" spans="1:73" ht="15">
      <c r="A1204"/>
      <c r="J1204"/>
      <c r="AA1204"/>
      <c r="AB1204"/>
      <c r="AC1204"/>
      <c r="AD1204"/>
      <c r="AE1204"/>
      <c r="AF1204"/>
      <c r="AG1204"/>
      <c r="AH1204"/>
      <c r="BQ1204" s="2"/>
      <c r="BR1204" s="3"/>
      <c r="BS1204" s="3"/>
      <c r="BT1204" s="3"/>
      <c r="BU1204" s="3"/>
    </row>
    <row r="1205" spans="1:73" ht="15">
      <c r="A1205"/>
      <c r="J1205"/>
      <c r="AA1205"/>
      <c r="AB1205"/>
      <c r="AC1205"/>
      <c r="AD1205"/>
      <c r="AE1205"/>
      <c r="AF1205"/>
      <c r="AG1205"/>
      <c r="AH1205"/>
      <c r="BQ1205" s="2"/>
      <c r="BR1205" s="3"/>
      <c r="BS1205" s="3"/>
      <c r="BT1205" s="3"/>
      <c r="BU1205" s="3"/>
    </row>
    <row r="1206" spans="1:73" ht="15">
      <c r="A1206"/>
      <c r="J1206"/>
      <c r="AA1206"/>
      <c r="AB1206"/>
      <c r="AC1206"/>
      <c r="AD1206"/>
      <c r="AE1206"/>
      <c r="AF1206"/>
      <c r="AG1206"/>
      <c r="AH1206"/>
      <c r="BQ1206" s="2"/>
      <c r="BR1206" s="3"/>
      <c r="BS1206" s="3"/>
      <c r="BT1206" s="3"/>
      <c r="BU1206" s="3"/>
    </row>
    <row r="1207" spans="1:73" ht="15">
      <c r="A1207"/>
      <c r="J1207"/>
      <c r="AA1207"/>
      <c r="AB1207"/>
      <c r="AC1207"/>
      <c r="AD1207"/>
      <c r="AE1207"/>
      <c r="AF1207"/>
      <c r="AG1207"/>
      <c r="AH1207"/>
      <c r="BQ1207" s="2"/>
      <c r="BR1207" s="3"/>
      <c r="BS1207" s="3"/>
      <c r="BT1207" s="3"/>
      <c r="BU1207" s="3"/>
    </row>
    <row r="1208" spans="1:73" ht="15">
      <c r="A1208"/>
      <c r="J1208"/>
      <c r="AA1208"/>
      <c r="AB1208"/>
      <c r="AC1208"/>
      <c r="AD1208"/>
      <c r="AE1208"/>
      <c r="AF1208"/>
      <c r="AG1208"/>
      <c r="AH1208"/>
      <c r="BQ1208" s="2"/>
      <c r="BR1208" s="3"/>
      <c r="BS1208" s="3"/>
      <c r="BT1208" s="3"/>
      <c r="BU1208" s="3"/>
    </row>
    <row r="1209" spans="1:73" ht="15">
      <c r="A1209"/>
      <c r="J1209"/>
      <c r="AA1209"/>
      <c r="AB1209"/>
      <c r="AC1209"/>
      <c r="AD1209"/>
      <c r="AE1209"/>
      <c r="AF1209"/>
      <c r="AG1209"/>
      <c r="AH1209"/>
      <c r="BQ1209" s="2"/>
      <c r="BR1209" s="3"/>
      <c r="BS1209" s="3"/>
      <c r="BT1209" s="3"/>
      <c r="BU1209" s="3"/>
    </row>
    <row r="1210" spans="1:73" ht="15">
      <c r="A1210"/>
      <c r="J1210"/>
      <c r="AA1210"/>
      <c r="AB1210"/>
      <c r="AC1210"/>
      <c r="AD1210"/>
      <c r="AE1210"/>
      <c r="AF1210"/>
      <c r="AG1210"/>
      <c r="AH1210"/>
      <c r="BQ1210" s="2"/>
      <c r="BR1210" s="3"/>
      <c r="BS1210" s="3"/>
      <c r="BT1210" s="3"/>
      <c r="BU1210" s="3"/>
    </row>
    <row r="1211" spans="1:73" ht="15">
      <c r="A1211"/>
      <c r="J1211"/>
      <c r="AA1211"/>
      <c r="AB1211"/>
      <c r="AC1211"/>
      <c r="AD1211"/>
      <c r="AE1211"/>
      <c r="AF1211"/>
      <c r="AG1211"/>
      <c r="AH1211"/>
      <c r="BQ1211" s="2"/>
      <c r="BR1211" s="3"/>
      <c r="BS1211" s="3"/>
      <c r="BT1211" s="3"/>
      <c r="BU1211" s="3"/>
    </row>
    <row r="1212" spans="1:73" ht="15">
      <c r="A1212"/>
      <c r="J1212"/>
      <c r="AA1212"/>
      <c r="AB1212"/>
      <c r="AC1212"/>
      <c r="AD1212"/>
      <c r="AE1212"/>
      <c r="AF1212"/>
      <c r="AG1212"/>
      <c r="AH1212"/>
      <c r="BQ1212" s="2"/>
      <c r="BR1212" s="3"/>
      <c r="BS1212" s="3"/>
      <c r="BT1212" s="3"/>
      <c r="BU1212" s="3"/>
    </row>
    <row r="1213" spans="1:73" ht="15">
      <c r="A1213"/>
      <c r="J1213"/>
      <c r="AA1213"/>
      <c r="AB1213"/>
      <c r="AC1213"/>
      <c r="AD1213"/>
      <c r="AE1213"/>
      <c r="AF1213"/>
      <c r="AG1213"/>
      <c r="AH1213"/>
      <c r="BQ1213" s="2"/>
      <c r="BR1213" s="3"/>
      <c r="BS1213" s="3"/>
      <c r="BT1213" s="3"/>
      <c r="BU1213" s="3"/>
    </row>
    <row r="1214" spans="1:73" ht="15">
      <c r="A1214"/>
      <c r="J1214"/>
      <c r="AA1214"/>
      <c r="AB1214"/>
      <c r="AC1214"/>
      <c r="AD1214"/>
      <c r="AE1214"/>
      <c r="AF1214"/>
      <c r="AG1214"/>
      <c r="AH1214"/>
      <c r="BQ1214" s="2"/>
      <c r="BR1214" s="3"/>
      <c r="BS1214" s="3"/>
      <c r="BT1214" s="3"/>
      <c r="BU1214" s="3"/>
    </row>
    <row r="1215" spans="1:73" ht="15">
      <c r="A1215"/>
      <c r="J1215"/>
      <c r="AA1215"/>
      <c r="AB1215"/>
      <c r="AC1215"/>
      <c r="AD1215"/>
      <c r="AE1215"/>
      <c r="AF1215"/>
      <c r="AG1215"/>
      <c r="AH1215"/>
      <c r="BQ1215" s="2"/>
      <c r="BR1215" s="3"/>
      <c r="BS1215" s="3"/>
      <c r="BT1215" s="3"/>
      <c r="BU1215" s="3"/>
    </row>
    <row r="1216" spans="1:73" ht="15">
      <c r="A1216"/>
      <c r="J1216"/>
      <c r="AA1216"/>
      <c r="AB1216"/>
      <c r="AC1216"/>
      <c r="AD1216"/>
      <c r="AE1216"/>
      <c r="AF1216"/>
      <c r="AG1216"/>
      <c r="AH1216"/>
      <c r="BQ1216" s="2"/>
      <c r="BR1216" s="3"/>
      <c r="BS1216" s="3"/>
      <c r="BT1216" s="3"/>
      <c r="BU1216" s="3"/>
    </row>
    <row r="1217" spans="1:73" ht="15">
      <c r="A1217"/>
      <c r="J1217"/>
      <c r="AA1217"/>
      <c r="AB1217"/>
      <c r="AC1217"/>
      <c r="AD1217"/>
      <c r="AE1217"/>
      <c r="AF1217"/>
      <c r="AG1217"/>
      <c r="AH1217"/>
      <c r="BQ1217" s="2"/>
      <c r="BR1217" s="3"/>
      <c r="BS1217" s="3"/>
      <c r="BT1217" s="3"/>
      <c r="BU1217" s="3"/>
    </row>
    <row r="1218" spans="1:73" ht="15">
      <c r="A1218"/>
      <c r="J1218"/>
      <c r="AA1218"/>
      <c r="AB1218"/>
      <c r="AC1218"/>
      <c r="AD1218"/>
      <c r="AE1218"/>
      <c r="AF1218"/>
      <c r="AG1218"/>
      <c r="AH1218"/>
      <c r="BQ1218" s="2"/>
      <c r="BR1218" s="3"/>
      <c r="BS1218" s="3"/>
      <c r="BT1218" s="3"/>
      <c r="BU1218" s="3"/>
    </row>
    <row r="1219" spans="1:73" ht="15">
      <c r="A1219"/>
      <c r="J1219"/>
      <c r="AA1219"/>
      <c r="AB1219"/>
      <c r="AC1219"/>
      <c r="AD1219"/>
      <c r="AE1219"/>
      <c r="AF1219"/>
      <c r="AG1219"/>
      <c r="AH1219"/>
      <c r="BQ1219" s="2"/>
      <c r="BR1219" s="3"/>
      <c r="BS1219" s="3"/>
      <c r="BT1219" s="3"/>
      <c r="BU1219" s="3"/>
    </row>
    <row r="1220" spans="1:73" ht="15">
      <c r="A1220"/>
      <c r="J1220"/>
      <c r="AA1220"/>
      <c r="AB1220"/>
      <c r="AC1220"/>
      <c r="AD1220"/>
      <c r="AE1220"/>
      <c r="AF1220"/>
      <c r="AG1220"/>
      <c r="AH1220"/>
      <c r="BQ1220" s="2"/>
      <c r="BR1220" s="3"/>
      <c r="BS1220" s="3"/>
      <c r="BT1220" s="3"/>
      <c r="BU1220" s="3"/>
    </row>
    <row r="1221" spans="1:73" ht="15">
      <c r="A1221"/>
      <c r="J1221"/>
      <c r="AA1221"/>
      <c r="AB1221"/>
      <c r="AC1221"/>
      <c r="AD1221"/>
      <c r="AE1221"/>
      <c r="AF1221"/>
      <c r="AG1221"/>
      <c r="AH1221"/>
      <c r="BQ1221" s="2"/>
      <c r="BR1221" s="3"/>
      <c r="BS1221" s="3"/>
      <c r="BT1221" s="3"/>
      <c r="BU1221" s="3"/>
    </row>
    <row r="1222" spans="1:73" ht="15">
      <c r="A1222"/>
      <c r="J1222"/>
      <c r="AA1222"/>
      <c r="AB1222"/>
      <c r="AC1222"/>
      <c r="AD1222"/>
      <c r="AE1222"/>
      <c r="AF1222"/>
      <c r="AG1222"/>
      <c r="AH1222"/>
      <c r="BQ1222" s="2"/>
      <c r="BR1222" s="3"/>
      <c r="BS1222" s="3"/>
      <c r="BT1222" s="3"/>
      <c r="BU1222" s="3"/>
    </row>
    <row r="1223" spans="1:73" ht="15">
      <c r="A1223"/>
      <c r="J1223"/>
      <c r="AA1223"/>
      <c r="AB1223"/>
      <c r="AC1223"/>
      <c r="AD1223"/>
      <c r="AE1223"/>
      <c r="AF1223"/>
      <c r="AG1223"/>
      <c r="AH1223"/>
      <c r="BQ1223" s="2"/>
      <c r="BR1223" s="3"/>
      <c r="BS1223" s="3"/>
      <c r="BT1223" s="3"/>
      <c r="BU1223" s="3"/>
    </row>
    <row r="1224" spans="1:73" ht="15">
      <c r="A1224"/>
      <c r="J1224"/>
      <c r="AA1224"/>
      <c r="AB1224"/>
      <c r="AC1224"/>
      <c r="AD1224"/>
      <c r="AE1224"/>
      <c r="AF1224"/>
      <c r="AG1224"/>
      <c r="AH1224"/>
      <c r="BQ1224" s="2"/>
      <c r="BR1224" s="3"/>
      <c r="BS1224" s="3"/>
      <c r="BT1224" s="3"/>
      <c r="BU1224" s="3"/>
    </row>
    <row r="1225" spans="1:73" ht="15">
      <c r="A1225"/>
      <c r="J1225"/>
      <c r="AA1225"/>
      <c r="AB1225"/>
      <c r="AC1225"/>
      <c r="AD1225"/>
      <c r="AE1225"/>
      <c r="AF1225"/>
      <c r="AG1225"/>
      <c r="AH1225"/>
      <c r="BQ1225" s="2"/>
      <c r="BR1225" s="3"/>
      <c r="BS1225" s="3"/>
      <c r="BT1225" s="3"/>
      <c r="BU1225" s="3"/>
    </row>
    <row r="1226" spans="1:73" ht="15">
      <c r="A1226"/>
      <c r="J1226"/>
      <c r="AA1226"/>
      <c r="AB1226"/>
      <c r="AC1226"/>
      <c r="AD1226"/>
      <c r="AE1226"/>
      <c r="AF1226"/>
      <c r="AG1226"/>
      <c r="AH1226"/>
      <c r="BQ1226" s="2"/>
      <c r="BR1226" s="3"/>
      <c r="BS1226" s="3"/>
      <c r="BT1226" s="3"/>
      <c r="BU1226" s="3"/>
    </row>
    <row r="1227" spans="1:73" ht="15">
      <c r="A1227"/>
      <c r="J1227"/>
      <c r="AA1227"/>
      <c r="AB1227"/>
      <c r="AC1227"/>
      <c r="AD1227"/>
      <c r="AE1227"/>
      <c r="AF1227"/>
      <c r="AG1227"/>
      <c r="AH1227"/>
      <c r="BQ1227" s="2"/>
      <c r="BR1227" s="3"/>
      <c r="BS1227" s="3"/>
      <c r="BT1227" s="3"/>
      <c r="BU1227" s="3"/>
    </row>
    <row r="1228" spans="1:73" ht="15">
      <c r="A1228"/>
      <c r="J1228"/>
      <c r="AA1228"/>
      <c r="AB1228"/>
      <c r="AC1228"/>
      <c r="AD1228"/>
      <c r="AE1228"/>
      <c r="AF1228"/>
      <c r="AG1228"/>
      <c r="AH1228"/>
      <c r="BQ1228" s="2"/>
      <c r="BR1228" s="3"/>
      <c r="BS1228" s="3"/>
      <c r="BT1228" s="3"/>
      <c r="BU1228" s="3"/>
    </row>
    <row r="1229" spans="1:73" ht="15">
      <c r="A1229"/>
      <c r="J1229"/>
      <c r="AA1229"/>
      <c r="AB1229"/>
      <c r="AC1229"/>
      <c r="AD1229"/>
      <c r="AE1229"/>
      <c r="AF1229"/>
      <c r="AG1229"/>
      <c r="AH1229"/>
      <c r="BQ1229" s="2"/>
      <c r="BR1229" s="3"/>
      <c r="BS1229" s="3"/>
      <c r="BT1229" s="3"/>
      <c r="BU1229" s="3"/>
    </row>
    <row r="1230" spans="1:73" ht="15">
      <c r="A1230"/>
      <c r="J1230"/>
      <c r="AA1230"/>
      <c r="AB1230"/>
      <c r="AC1230"/>
      <c r="AD1230"/>
      <c r="AE1230"/>
      <c r="AF1230"/>
      <c r="AG1230"/>
      <c r="AH1230"/>
      <c r="BQ1230" s="2"/>
      <c r="BR1230" s="3"/>
      <c r="BS1230" s="3"/>
      <c r="BT1230" s="3"/>
      <c r="BU1230" s="3"/>
    </row>
    <row r="1231" spans="1:73" ht="15">
      <c r="A1231"/>
      <c r="J1231"/>
      <c r="AA1231"/>
      <c r="AB1231"/>
      <c r="AC1231"/>
      <c r="AD1231"/>
      <c r="AE1231"/>
      <c r="AF1231"/>
      <c r="AG1231"/>
      <c r="AH1231"/>
      <c r="BQ1231" s="2"/>
      <c r="BR1231" s="3"/>
      <c r="BS1231" s="3"/>
      <c r="BT1231" s="3"/>
      <c r="BU1231" s="3"/>
    </row>
    <row r="1232" spans="1:73" ht="15">
      <c r="A1232"/>
      <c r="J1232"/>
      <c r="AA1232"/>
      <c r="AB1232"/>
      <c r="AC1232"/>
      <c r="AD1232"/>
      <c r="AE1232"/>
      <c r="AF1232"/>
      <c r="AG1232"/>
      <c r="AH1232"/>
      <c r="BQ1232" s="2"/>
      <c r="BR1232" s="3"/>
      <c r="BS1232" s="3"/>
      <c r="BT1232" s="3"/>
      <c r="BU1232" s="3"/>
    </row>
    <row r="1233" spans="1:73" ht="15">
      <c r="A1233"/>
      <c r="J1233"/>
      <c r="AA1233"/>
      <c r="AB1233"/>
      <c r="AC1233"/>
      <c r="AD1233"/>
      <c r="AE1233"/>
      <c r="AF1233"/>
      <c r="AG1233"/>
      <c r="AH1233"/>
      <c r="BQ1233" s="2"/>
      <c r="BR1233" s="3"/>
      <c r="BS1233" s="3"/>
      <c r="BT1233" s="3"/>
      <c r="BU1233" s="3"/>
    </row>
    <row r="1234" spans="1:73" ht="15">
      <c r="A1234"/>
      <c r="J1234"/>
      <c r="AA1234"/>
      <c r="AB1234"/>
      <c r="AC1234"/>
      <c r="AD1234"/>
      <c r="AE1234"/>
      <c r="AF1234"/>
      <c r="AG1234"/>
      <c r="AH1234"/>
      <c r="BQ1234" s="2"/>
      <c r="BR1234" s="3"/>
      <c r="BS1234" s="3"/>
      <c r="BT1234" s="3"/>
      <c r="BU1234" s="3"/>
    </row>
    <row r="1235" spans="1:73" ht="15">
      <c r="A1235"/>
      <c r="J1235"/>
      <c r="AA1235"/>
      <c r="AB1235"/>
      <c r="AC1235"/>
      <c r="AD1235"/>
      <c r="AE1235"/>
      <c r="AF1235"/>
      <c r="AG1235"/>
      <c r="AH1235"/>
      <c r="BQ1235" s="2"/>
      <c r="BR1235" s="3"/>
      <c r="BS1235" s="3"/>
      <c r="BT1235" s="3"/>
      <c r="BU1235" s="3"/>
    </row>
    <row r="1236" spans="1:73" ht="15">
      <c r="A1236"/>
      <c r="J1236"/>
      <c r="AA1236"/>
      <c r="AB1236"/>
      <c r="AC1236"/>
      <c r="AD1236"/>
      <c r="AE1236"/>
      <c r="AF1236"/>
      <c r="AG1236"/>
      <c r="AH1236"/>
      <c r="BQ1236" s="2"/>
      <c r="BR1236" s="3"/>
      <c r="BS1236" s="3"/>
      <c r="BT1236" s="3"/>
      <c r="BU1236" s="3"/>
    </row>
    <row r="1237" spans="1:73" ht="15">
      <c r="A1237"/>
      <c r="J1237"/>
      <c r="AA1237"/>
      <c r="AB1237"/>
      <c r="AC1237"/>
      <c r="AD1237"/>
      <c r="AE1237"/>
      <c r="AF1237"/>
      <c r="AG1237"/>
      <c r="AH1237"/>
      <c r="BQ1237" s="2"/>
      <c r="BR1237" s="3"/>
      <c r="BS1237" s="3"/>
      <c r="BT1237" s="3"/>
      <c r="BU1237" s="3"/>
    </row>
    <row r="1238" spans="1:73" ht="15">
      <c r="A1238"/>
      <c r="J1238"/>
      <c r="AA1238"/>
      <c r="AB1238"/>
      <c r="AC1238"/>
      <c r="AD1238"/>
      <c r="AE1238"/>
      <c r="AF1238"/>
      <c r="AG1238"/>
      <c r="AH1238"/>
      <c r="BQ1238" s="2"/>
      <c r="BR1238" s="3"/>
      <c r="BS1238" s="3"/>
      <c r="BT1238" s="3"/>
      <c r="BU1238" s="3"/>
    </row>
    <row r="1239" spans="1:73" ht="15">
      <c r="A1239"/>
      <c r="J1239"/>
      <c r="AA1239"/>
      <c r="AB1239"/>
      <c r="AC1239"/>
      <c r="AD1239"/>
      <c r="AE1239"/>
      <c r="AF1239"/>
      <c r="AG1239"/>
      <c r="AH1239"/>
      <c r="BQ1239" s="2"/>
      <c r="BR1239" s="3"/>
      <c r="BS1239" s="3"/>
      <c r="BT1239" s="3"/>
      <c r="BU1239" s="3"/>
    </row>
    <row r="1240" spans="1:73" ht="15">
      <c r="A1240"/>
      <c r="J1240"/>
      <c r="AA1240"/>
      <c r="AB1240"/>
      <c r="AC1240"/>
      <c r="AD1240"/>
      <c r="AE1240"/>
      <c r="AF1240"/>
      <c r="AG1240"/>
      <c r="AH1240"/>
      <c r="BQ1240" s="2"/>
      <c r="BR1240" s="3"/>
      <c r="BS1240" s="3"/>
      <c r="BT1240" s="3"/>
      <c r="BU1240" s="3"/>
    </row>
    <row r="1241" spans="1:73" ht="15">
      <c r="A1241"/>
      <c r="J1241"/>
      <c r="AA1241"/>
      <c r="AB1241"/>
      <c r="AC1241"/>
      <c r="AD1241"/>
      <c r="AE1241"/>
      <c r="AF1241"/>
      <c r="AG1241"/>
      <c r="AH1241"/>
      <c r="BQ1241" s="2"/>
      <c r="BR1241" s="3"/>
      <c r="BS1241" s="3"/>
      <c r="BT1241" s="3"/>
      <c r="BU1241" s="3"/>
    </row>
    <row r="1242" spans="1:73" ht="15">
      <c r="A1242"/>
      <c r="J1242"/>
      <c r="AA1242"/>
      <c r="AB1242"/>
      <c r="AC1242"/>
      <c r="AD1242"/>
      <c r="AE1242"/>
      <c r="AF1242"/>
      <c r="AG1242"/>
      <c r="AH1242"/>
      <c r="BQ1242" s="2"/>
      <c r="BR1242" s="3"/>
      <c r="BS1242" s="3"/>
      <c r="BT1242" s="3"/>
      <c r="BU1242" s="3"/>
    </row>
    <row r="1243" spans="1:73" ht="15">
      <c r="A1243"/>
      <c r="J1243"/>
      <c r="AA1243"/>
      <c r="AB1243"/>
      <c r="AC1243"/>
      <c r="AD1243"/>
      <c r="AE1243"/>
      <c r="AF1243"/>
      <c r="AG1243"/>
      <c r="AH1243"/>
      <c r="BQ1243" s="2"/>
      <c r="BR1243" s="3"/>
      <c r="BS1243" s="3"/>
      <c r="BT1243" s="3"/>
      <c r="BU1243" s="3"/>
    </row>
    <row r="1244" spans="1:73" ht="15">
      <c r="A1244"/>
      <c r="J1244"/>
      <c r="AA1244"/>
      <c r="AB1244"/>
      <c r="AC1244"/>
      <c r="AD1244"/>
      <c r="AE1244"/>
      <c r="AF1244"/>
      <c r="AG1244"/>
      <c r="AH1244"/>
      <c r="BQ1244" s="2"/>
      <c r="BR1244" s="3"/>
      <c r="BS1244" s="3"/>
      <c r="BT1244" s="3"/>
      <c r="BU1244" s="3"/>
    </row>
    <row r="1245" spans="1:73" ht="15">
      <c r="A1245"/>
      <c r="J1245"/>
      <c r="AA1245"/>
      <c r="AB1245"/>
      <c r="AC1245"/>
      <c r="AD1245"/>
      <c r="AE1245"/>
      <c r="AF1245"/>
      <c r="AG1245"/>
      <c r="AH1245"/>
      <c r="BQ1245" s="2"/>
      <c r="BR1245" s="3"/>
      <c r="BS1245" s="3"/>
      <c r="BT1245" s="3"/>
      <c r="BU1245" s="3"/>
    </row>
    <row r="1246" spans="1:73" ht="15">
      <c r="A1246"/>
      <c r="J1246"/>
      <c r="AA1246"/>
      <c r="AB1246"/>
      <c r="AC1246"/>
      <c r="AD1246"/>
      <c r="AE1246"/>
      <c r="AF1246"/>
      <c r="AG1246"/>
      <c r="AH1246"/>
      <c r="BQ1246" s="2"/>
      <c r="BR1246" s="3"/>
      <c r="BS1246" s="3"/>
      <c r="BT1246" s="3"/>
      <c r="BU1246" s="3"/>
    </row>
    <row r="1247" spans="1:73" ht="15">
      <c r="A1247"/>
      <c r="J1247"/>
      <c r="AA1247"/>
      <c r="AB1247"/>
      <c r="AC1247"/>
      <c r="AD1247"/>
      <c r="AE1247"/>
      <c r="AF1247"/>
      <c r="AG1247"/>
      <c r="AH1247"/>
      <c r="BQ1247" s="2"/>
      <c r="BR1247" s="3"/>
      <c r="BS1247" s="3"/>
      <c r="BT1247" s="3"/>
      <c r="BU1247" s="3"/>
    </row>
    <row r="1248" spans="1:73" ht="15">
      <c r="A1248"/>
      <c r="J1248"/>
      <c r="AA1248"/>
      <c r="AB1248"/>
      <c r="AC1248"/>
      <c r="AD1248"/>
      <c r="AE1248"/>
      <c r="AF1248"/>
      <c r="AG1248"/>
      <c r="AH1248"/>
      <c r="BQ1248" s="2"/>
      <c r="BR1248" s="3"/>
      <c r="BS1248" s="3"/>
      <c r="BT1248" s="3"/>
      <c r="BU1248" s="3"/>
    </row>
    <row r="1249" spans="1:73" ht="15">
      <c r="A1249"/>
      <c r="J1249"/>
      <c r="AA1249"/>
      <c r="AB1249"/>
      <c r="AC1249"/>
      <c r="AD1249"/>
      <c r="AE1249"/>
      <c r="AF1249"/>
      <c r="AG1249"/>
      <c r="AH1249"/>
      <c r="BQ1249" s="2"/>
      <c r="BR1249" s="3"/>
      <c r="BS1249" s="3"/>
      <c r="BT1249" s="3"/>
      <c r="BU1249" s="3"/>
    </row>
    <row r="1250" spans="1:73" ht="15">
      <c r="A1250"/>
      <c r="J1250"/>
      <c r="AA1250"/>
      <c r="AB1250"/>
      <c r="AC1250"/>
      <c r="AD1250"/>
      <c r="AE1250"/>
      <c r="AF1250"/>
      <c r="AG1250"/>
      <c r="AH1250"/>
      <c r="BQ1250" s="2"/>
      <c r="BR1250" s="3"/>
      <c r="BS1250" s="3"/>
      <c r="BT1250" s="3"/>
      <c r="BU1250" s="3"/>
    </row>
    <row r="1251" spans="1:73" ht="15">
      <c r="A1251"/>
      <c r="J1251"/>
      <c r="AA1251"/>
      <c r="AB1251"/>
      <c r="AC1251"/>
      <c r="AD1251"/>
      <c r="AE1251"/>
      <c r="AF1251"/>
      <c r="AG1251"/>
      <c r="AH1251"/>
      <c r="BQ1251" s="2"/>
      <c r="BR1251" s="3"/>
      <c r="BS1251" s="3"/>
      <c r="BT1251" s="3"/>
      <c r="BU1251" s="3"/>
    </row>
    <row r="1252" spans="1:73" ht="15">
      <c r="A1252"/>
      <c r="J1252"/>
      <c r="AA1252"/>
      <c r="AB1252"/>
      <c r="AC1252"/>
      <c r="AD1252"/>
      <c r="AE1252"/>
      <c r="AF1252"/>
      <c r="AG1252"/>
      <c r="AH1252"/>
      <c r="BQ1252" s="2"/>
      <c r="BR1252" s="3"/>
      <c r="BS1252" s="3"/>
      <c r="BT1252" s="3"/>
      <c r="BU1252" s="3"/>
    </row>
    <row r="1253" spans="1:73" ht="15">
      <c r="A1253"/>
      <c r="J1253"/>
      <c r="AA1253"/>
      <c r="AB1253"/>
      <c r="AC1253"/>
      <c r="AD1253"/>
      <c r="AE1253"/>
      <c r="AF1253"/>
      <c r="AG1253"/>
      <c r="AH1253"/>
      <c r="BQ1253" s="2"/>
      <c r="BR1253" s="3"/>
      <c r="BS1253" s="3"/>
      <c r="BT1253" s="3"/>
      <c r="BU1253" s="3"/>
    </row>
    <row r="1254" spans="1:73" ht="15">
      <c r="A1254"/>
      <c r="J1254"/>
      <c r="AA1254"/>
      <c r="AB1254"/>
      <c r="AC1254"/>
      <c r="AD1254"/>
      <c r="AE1254"/>
      <c r="AF1254"/>
      <c r="AG1254"/>
      <c r="AH1254"/>
      <c r="BQ1254" s="2"/>
      <c r="BR1254" s="3"/>
      <c r="BS1254" s="3"/>
      <c r="BT1254" s="3"/>
      <c r="BU1254" s="3"/>
    </row>
    <row r="1255" spans="1:73" ht="15">
      <c r="A1255"/>
      <c r="J1255"/>
      <c r="AA1255"/>
      <c r="AB1255"/>
      <c r="AC1255"/>
      <c r="AD1255"/>
      <c r="AE1255"/>
      <c r="AF1255"/>
      <c r="AG1255"/>
      <c r="AH1255"/>
      <c r="BQ1255" s="2"/>
      <c r="BR1255" s="3"/>
      <c r="BS1255" s="3"/>
      <c r="BT1255" s="3"/>
      <c r="BU1255" s="3"/>
    </row>
    <row r="1256" spans="1:73" ht="15">
      <c r="A1256"/>
      <c r="J1256"/>
      <c r="AA1256"/>
      <c r="AB1256"/>
      <c r="AC1256"/>
      <c r="AD1256"/>
      <c r="AE1256"/>
      <c r="AF1256"/>
      <c r="AG1256"/>
      <c r="AH1256"/>
      <c r="BQ1256" s="2"/>
      <c r="BR1256" s="3"/>
      <c r="BS1256" s="3"/>
      <c r="BT1256" s="3"/>
      <c r="BU1256" s="3"/>
    </row>
    <row r="1257" spans="1:73" ht="15">
      <c r="A1257"/>
      <c r="J1257"/>
      <c r="AA1257"/>
      <c r="AB1257"/>
      <c r="AC1257"/>
      <c r="AD1257"/>
      <c r="AE1257"/>
      <c r="AF1257"/>
      <c r="AG1257"/>
      <c r="AH1257"/>
      <c r="BQ1257" s="2"/>
      <c r="BR1257" s="3"/>
      <c r="BS1257" s="3"/>
      <c r="BT1257" s="3"/>
      <c r="BU1257" s="3"/>
    </row>
    <row r="1258" spans="1:73" ht="15">
      <c r="A1258"/>
      <c r="J1258"/>
      <c r="AA1258"/>
      <c r="AB1258"/>
      <c r="AC1258"/>
      <c r="AD1258"/>
      <c r="AE1258"/>
      <c r="AF1258"/>
      <c r="AG1258"/>
      <c r="AH1258"/>
      <c r="BQ1258" s="2"/>
      <c r="BR1258" s="3"/>
      <c r="BS1258" s="3"/>
      <c r="BT1258" s="3"/>
      <c r="BU1258" s="3"/>
    </row>
    <row r="1259" spans="1:73" ht="15">
      <c r="A1259"/>
      <c r="J1259"/>
      <c r="AA1259"/>
      <c r="AB1259"/>
      <c r="AC1259"/>
      <c r="AD1259"/>
      <c r="AE1259"/>
      <c r="AF1259"/>
      <c r="AG1259"/>
      <c r="AH1259"/>
      <c r="BQ1259" s="2"/>
      <c r="BR1259" s="3"/>
      <c r="BS1259" s="3"/>
      <c r="BT1259" s="3"/>
      <c r="BU1259" s="3"/>
    </row>
    <row r="1260" spans="1:73" ht="15">
      <c r="A1260"/>
      <c r="J1260"/>
      <c r="AA1260"/>
      <c r="AB1260"/>
      <c r="AC1260"/>
      <c r="AD1260"/>
      <c r="AE1260"/>
      <c r="AF1260"/>
      <c r="AG1260"/>
      <c r="AH1260"/>
      <c r="BQ1260" s="2"/>
      <c r="BR1260" s="3"/>
      <c r="BS1260" s="3"/>
      <c r="BT1260" s="3"/>
      <c r="BU1260" s="3"/>
    </row>
    <row r="1261" spans="1:73" ht="15">
      <c r="A1261"/>
      <c r="J1261"/>
      <c r="AA1261"/>
      <c r="AB1261"/>
      <c r="AC1261"/>
      <c r="AD1261"/>
      <c r="AE1261"/>
      <c r="AF1261"/>
      <c r="AG1261"/>
      <c r="AH1261"/>
      <c r="BQ1261" s="2"/>
      <c r="BR1261" s="3"/>
      <c r="BS1261" s="3"/>
      <c r="BT1261" s="3"/>
      <c r="BU1261" s="3"/>
    </row>
    <row r="1262" spans="1:73" ht="15">
      <c r="A1262"/>
      <c r="J1262"/>
      <c r="AA1262"/>
      <c r="AB1262"/>
      <c r="AC1262"/>
      <c r="AD1262"/>
      <c r="AE1262"/>
      <c r="AF1262"/>
      <c r="AG1262"/>
      <c r="AH1262"/>
      <c r="BQ1262" s="2"/>
      <c r="BR1262" s="3"/>
      <c r="BS1262" s="3"/>
      <c r="BT1262" s="3"/>
      <c r="BU1262" s="3"/>
    </row>
    <row r="1263" spans="1:73" ht="15">
      <c r="A1263"/>
      <c r="J1263"/>
      <c r="AA1263"/>
      <c r="AB1263"/>
      <c r="AC1263"/>
      <c r="AD1263"/>
      <c r="AE1263"/>
      <c r="AF1263"/>
      <c r="AG1263"/>
      <c r="AH1263"/>
      <c r="BQ1263" s="2"/>
      <c r="BR1263" s="3"/>
      <c r="BS1263" s="3"/>
      <c r="BT1263" s="3"/>
      <c r="BU1263" s="3"/>
    </row>
    <row r="1264" spans="1:73" ht="15">
      <c r="A1264"/>
      <c r="J1264"/>
      <c r="AA1264"/>
      <c r="AB1264"/>
      <c r="AC1264"/>
      <c r="AD1264"/>
      <c r="AE1264"/>
      <c r="AF1264"/>
      <c r="AG1264"/>
      <c r="AH1264"/>
      <c r="BQ1264" s="2"/>
      <c r="BR1264" s="3"/>
      <c r="BS1264" s="3"/>
      <c r="BT1264" s="3"/>
      <c r="BU1264" s="3"/>
    </row>
    <row r="1265" spans="1:73" ht="15">
      <c r="A1265"/>
      <c r="J1265"/>
      <c r="AA1265"/>
      <c r="AB1265"/>
      <c r="AC1265"/>
      <c r="AD1265"/>
      <c r="AE1265"/>
      <c r="AF1265"/>
      <c r="AG1265"/>
      <c r="AH1265"/>
      <c r="BQ1265" s="2"/>
      <c r="BR1265" s="3"/>
      <c r="BS1265" s="3"/>
      <c r="BT1265" s="3"/>
      <c r="BU1265" s="3"/>
    </row>
    <row r="1266" spans="1:73" ht="15">
      <c r="A1266"/>
      <c r="J1266"/>
      <c r="AA1266"/>
      <c r="AB1266"/>
      <c r="AC1266"/>
      <c r="AD1266"/>
      <c r="AE1266"/>
      <c r="AF1266"/>
      <c r="AG1266"/>
      <c r="AH1266"/>
      <c r="BQ1266" s="2"/>
      <c r="BR1266" s="3"/>
      <c r="BS1266" s="3"/>
      <c r="BT1266" s="3"/>
      <c r="BU1266" s="3"/>
    </row>
    <row r="1267" spans="1:73" ht="15">
      <c r="A1267"/>
      <c r="J1267"/>
      <c r="AA1267"/>
      <c r="AB1267"/>
      <c r="AC1267"/>
      <c r="AD1267"/>
      <c r="AE1267"/>
      <c r="AF1267"/>
      <c r="AG1267"/>
      <c r="AH1267"/>
      <c r="BQ1267" s="2"/>
      <c r="BR1267" s="3"/>
      <c r="BS1267" s="3"/>
      <c r="BT1267" s="3"/>
      <c r="BU1267" s="3"/>
    </row>
    <row r="1268" spans="1:73" ht="15">
      <c r="A1268"/>
      <c r="J1268"/>
      <c r="AA1268"/>
      <c r="AB1268"/>
      <c r="AC1268"/>
      <c r="AD1268"/>
      <c r="AE1268"/>
      <c r="AF1268"/>
      <c r="AG1268"/>
      <c r="AH1268"/>
      <c r="BQ1268" s="2"/>
      <c r="BR1268" s="3"/>
      <c r="BS1268" s="3"/>
      <c r="BT1268" s="3"/>
      <c r="BU1268" s="3"/>
    </row>
    <row r="1269" spans="1:73" ht="15">
      <c r="A1269"/>
      <c r="J1269"/>
      <c r="AA1269"/>
      <c r="AB1269"/>
      <c r="AC1269"/>
      <c r="AD1269"/>
      <c r="AE1269"/>
      <c r="AF1269"/>
      <c r="AG1269"/>
      <c r="AH1269"/>
      <c r="BQ1269" s="2"/>
      <c r="BR1269" s="3"/>
      <c r="BS1269" s="3"/>
      <c r="BT1269" s="3"/>
      <c r="BU1269" s="3"/>
    </row>
    <row r="1270" spans="1:73" ht="15">
      <c r="A1270"/>
      <c r="J1270"/>
      <c r="AA1270"/>
      <c r="AB1270"/>
      <c r="AC1270"/>
      <c r="AD1270"/>
      <c r="AE1270"/>
      <c r="AF1270"/>
      <c r="AG1270"/>
      <c r="AH1270"/>
      <c r="BQ1270" s="2"/>
      <c r="BR1270" s="3"/>
      <c r="BS1270" s="3"/>
      <c r="BT1270" s="3"/>
      <c r="BU1270" s="3"/>
    </row>
    <row r="1271" spans="1:73" ht="15">
      <c r="A1271"/>
      <c r="J1271"/>
      <c r="AA1271"/>
      <c r="AB1271"/>
      <c r="AC1271"/>
      <c r="AD1271"/>
      <c r="AE1271"/>
      <c r="AF1271"/>
      <c r="AG1271"/>
      <c r="AH1271"/>
      <c r="BQ1271" s="2"/>
      <c r="BR1271" s="3"/>
      <c r="BS1271" s="3"/>
      <c r="BT1271" s="3"/>
      <c r="BU1271" s="3"/>
    </row>
    <row r="1272" spans="1:73" ht="15">
      <c r="A1272"/>
      <c r="J1272"/>
      <c r="AA1272"/>
      <c r="AB1272"/>
      <c r="AC1272"/>
      <c r="AD1272"/>
      <c r="AE1272"/>
      <c r="AF1272"/>
      <c r="AG1272"/>
      <c r="AH1272"/>
      <c r="BQ1272" s="2"/>
      <c r="BR1272" s="3"/>
      <c r="BS1272" s="3"/>
      <c r="BT1272" s="3"/>
      <c r="BU1272" s="3"/>
    </row>
    <row r="1273" spans="1:73" ht="15">
      <c r="A1273"/>
      <c r="J1273"/>
      <c r="AA1273"/>
      <c r="AB1273"/>
      <c r="AC1273"/>
      <c r="AD1273"/>
      <c r="AE1273"/>
      <c r="AF1273"/>
      <c r="AG1273"/>
      <c r="AH1273"/>
      <c r="BQ1273" s="2"/>
      <c r="BR1273" s="3"/>
      <c r="BS1273" s="3"/>
      <c r="BT1273" s="3"/>
      <c r="BU1273" s="3"/>
    </row>
    <row r="1274" spans="1:73" ht="15">
      <c r="A1274"/>
      <c r="J1274"/>
      <c r="AA1274"/>
      <c r="AB1274"/>
      <c r="AC1274"/>
      <c r="AD1274"/>
      <c r="AE1274"/>
      <c r="AF1274"/>
      <c r="AG1274"/>
      <c r="AH1274"/>
      <c r="BQ1274" s="2"/>
      <c r="BR1274" s="3"/>
      <c r="BS1274" s="3"/>
      <c r="BT1274" s="3"/>
      <c r="BU1274" s="3"/>
    </row>
    <row r="1275" spans="1:73" ht="15">
      <c r="A1275"/>
      <c r="J1275"/>
      <c r="AA1275"/>
      <c r="AB1275"/>
      <c r="AC1275"/>
      <c r="AD1275"/>
      <c r="AE1275"/>
      <c r="AF1275"/>
      <c r="AG1275"/>
      <c r="AH1275"/>
      <c r="BQ1275" s="2"/>
      <c r="BR1275" s="3"/>
      <c r="BS1275" s="3"/>
      <c r="BT1275" s="3"/>
      <c r="BU1275" s="3"/>
    </row>
    <row r="1276" spans="1:73" ht="15">
      <c r="A1276"/>
      <c r="J1276"/>
      <c r="AA1276"/>
      <c r="AB1276"/>
      <c r="AC1276"/>
      <c r="AD1276"/>
      <c r="AE1276"/>
      <c r="AF1276"/>
      <c r="AG1276"/>
      <c r="AH1276"/>
      <c r="BQ1276" s="2"/>
      <c r="BR1276" s="3"/>
      <c r="BS1276" s="3"/>
      <c r="BT1276" s="3"/>
      <c r="BU1276" s="3"/>
    </row>
    <row r="1277" spans="1:73" ht="15">
      <c r="A1277"/>
      <c r="J1277"/>
      <c r="AA1277"/>
      <c r="AB1277"/>
      <c r="AC1277"/>
      <c r="AD1277"/>
      <c r="AE1277"/>
      <c r="AF1277"/>
      <c r="AG1277"/>
      <c r="AH1277"/>
      <c r="BQ1277" s="2"/>
      <c r="BR1277" s="3"/>
      <c r="BS1277" s="3"/>
      <c r="BT1277" s="3"/>
      <c r="BU1277" s="3"/>
    </row>
    <row r="1278" spans="1:73" ht="15">
      <c r="A1278"/>
      <c r="J1278"/>
      <c r="AA1278"/>
      <c r="AB1278"/>
      <c r="AC1278"/>
      <c r="AD1278"/>
      <c r="AE1278"/>
      <c r="AF1278"/>
      <c r="AG1278"/>
      <c r="AH1278"/>
      <c r="BQ1278" s="2"/>
      <c r="BR1278" s="3"/>
      <c r="BS1278" s="3"/>
      <c r="BT1278" s="3"/>
      <c r="BU1278" s="3"/>
    </row>
    <row r="1279" spans="1:73" ht="15">
      <c r="A1279"/>
      <c r="J1279"/>
      <c r="AA1279"/>
      <c r="AB1279"/>
      <c r="AC1279"/>
      <c r="AD1279"/>
      <c r="AE1279"/>
      <c r="AF1279"/>
      <c r="AG1279"/>
      <c r="AH1279"/>
      <c r="BQ1279" s="2"/>
      <c r="BR1279" s="3"/>
      <c r="BS1279" s="3"/>
      <c r="BT1279" s="3"/>
      <c r="BU1279" s="3"/>
    </row>
    <row r="1280" spans="1:73" ht="15">
      <c r="A1280"/>
      <c r="J1280"/>
      <c r="AA1280"/>
      <c r="AB1280"/>
      <c r="AC1280"/>
      <c r="AD1280"/>
      <c r="AE1280"/>
      <c r="AF1280"/>
      <c r="AG1280"/>
      <c r="AH1280"/>
      <c r="BQ1280" s="2"/>
      <c r="BR1280" s="3"/>
      <c r="BS1280" s="3"/>
      <c r="BT1280" s="3"/>
      <c r="BU1280" s="3"/>
    </row>
    <row r="1281" spans="1:73" ht="15">
      <c r="A1281"/>
      <c r="J1281"/>
      <c r="AA1281"/>
      <c r="AB1281"/>
      <c r="AC1281"/>
      <c r="AD1281"/>
      <c r="AE1281"/>
      <c r="AF1281"/>
      <c r="AG1281"/>
      <c r="AH1281"/>
      <c r="BQ1281" s="2"/>
      <c r="BR1281" s="3"/>
      <c r="BS1281" s="3"/>
      <c r="BT1281" s="3"/>
      <c r="BU1281" s="3"/>
    </row>
    <row r="1282" spans="1:73" ht="15">
      <c r="A1282"/>
      <c r="J1282"/>
      <c r="AA1282"/>
      <c r="AB1282"/>
      <c r="AC1282"/>
      <c r="AD1282"/>
      <c r="AE1282"/>
      <c r="AF1282"/>
      <c r="AG1282"/>
      <c r="AH1282"/>
      <c r="BQ1282" s="2"/>
      <c r="BR1282" s="3"/>
      <c r="BS1282" s="3"/>
      <c r="BT1282" s="3"/>
      <c r="BU1282" s="3"/>
    </row>
    <row r="1283" spans="1:73" ht="15">
      <c r="A1283"/>
      <c r="J1283"/>
      <c r="AA1283"/>
      <c r="AB1283"/>
      <c r="AC1283"/>
      <c r="AD1283"/>
      <c r="AE1283"/>
      <c r="AF1283"/>
      <c r="AG1283"/>
      <c r="AH1283"/>
      <c r="BQ1283" s="2"/>
      <c r="BR1283" s="3"/>
      <c r="BS1283" s="3"/>
      <c r="BT1283" s="3"/>
      <c r="BU1283" s="3"/>
    </row>
    <row r="1284" spans="1:73" ht="15">
      <c r="A1284"/>
      <c r="J1284"/>
      <c r="AA1284"/>
      <c r="AB1284"/>
      <c r="AC1284"/>
      <c r="AD1284"/>
      <c r="AE1284"/>
      <c r="AF1284"/>
      <c r="AG1284"/>
      <c r="AH1284"/>
      <c r="BQ1284" s="2"/>
      <c r="BR1284" s="3"/>
      <c r="BS1284" s="3"/>
      <c r="BT1284" s="3"/>
      <c r="BU1284" s="3"/>
    </row>
    <row r="1285" spans="1:73" ht="15">
      <c r="A1285"/>
      <c r="J1285"/>
      <c r="AA1285"/>
      <c r="AB1285"/>
      <c r="AC1285"/>
      <c r="AD1285"/>
      <c r="AE1285"/>
      <c r="AF1285"/>
      <c r="AG1285"/>
      <c r="AH1285"/>
      <c r="BQ1285" s="2"/>
      <c r="BR1285" s="3"/>
      <c r="BS1285" s="3"/>
      <c r="BT1285" s="3"/>
      <c r="BU1285" s="3"/>
    </row>
    <row r="1286" spans="1:73" ht="15">
      <c r="A1286"/>
      <c r="J1286"/>
      <c r="AA1286"/>
      <c r="AB1286"/>
      <c r="AC1286"/>
      <c r="AD1286"/>
      <c r="AE1286"/>
      <c r="AF1286"/>
      <c r="AG1286"/>
      <c r="AH1286"/>
      <c r="BQ1286" s="2"/>
      <c r="BR1286" s="3"/>
      <c r="BS1286" s="3"/>
      <c r="BT1286" s="3"/>
      <c r="BU1286" s="3"/>
    </row>
    <row r="1287" spans="1:73" ht="15">
      <c r="A1287"/>
      <c r="J1287"/>
      <c r="AA1287"/>
      <c r="AB1287"/>
      <c r="AC1287"/>
      <c r="AD1287"/>
      <c r="AE1287"/>
      <c r="AF1287"/>
      <c r="AG1287"/>
      <c r="AH1287"/>
      <c r="BQ1287" s="2"/>
      <c r="BR1287" s="3"/>
      <c r="BS1287" s="3"/>
      <c r="BT1287" s="3"/>
      <c r="BU1287" s="3"/>
    </row>
    <row r="1288" spans="1:73" ht="15">
      <c r="A1288"/>
      <c r="J1288"/>
      <c r="AA1288"/>
      <c r="AB1288"/>
      <c r="AC1288"/>
      <c r="AD1288"/>
      <c r="AE1288"/>
      <c r="AF1288"/>
      <c r="AG1288"/>
      <c r="AH1288"/>
      <c r="BQ1288" s="2"/>
      <c r="BR1288" s="3"/>
      <c r="BS1288" s="3"/>
      <c r="BT1288" s="3"/>
      <c r="BU1288" s="3"/>
    </row>
    <row r="1289" spans="1:73" ht="15">
      <c r="A1289"/>
      <c r="J1289"/>
      <c r="AA1289"/>
      <c r="AB1289"/>
      <c r="AC1289"/>
      <c r="AD1289"/>
      <c r="AE1289"/>
      <c r="AF1289"/>
      <c r="AG1289"/>
      <c r="AH1289"/>
      <c r="BQ1289" s="2"/>
      <c r="BR1289" s="3"/>
      <c r="BS1289" s="3"/>
      <c r="BT1289" s="3"/>
      <c r="BU1289" s="3"/>
    </row>
    <row r="1290" spans="1:73" ht="15">
      <c r="A1290"/>
      <c r="J1290"/>
      <c r="AA1290"/>
      <c r="AB1290"/>
      <c r="AC1290"/>
      <c r="AD1290"/>
      <c r="AE1290"/>
      <c r="AF1290"/>
      <c r="AG1290"/>
      <c r="AH1290"/>
      <c r="BQ1290" s="2"/>
      <c r="BR1290" s="3"/>
      <c r="BS1290" s="3"/>
      <c r="BT1290" s="3"/>
      <c r="BU1290" s="3"/>
    </row>
    <row r="1291" spans="1:73" ht="15">
      <c r="A1291"/>
      <c r="J1291"/>
      <c r="AA1291"/>
      <c r="AB1291"/>
      <c r="AC1291"/>
      <c r="AD1291"/>
      <c r="AE1291"/>
      <c r="AF1291"/>
      <c r="AG1291"/>
      <c r="AH1291"/>
      <c r="BQ1291" s="2"/>
      <c r="BR1291" s="3"/>
      <c r="BS1291" s="3"/>
      <c r="BT1291" s="3"/>
      <c r="BU1291" s="3"/>
    </row>
    <row r="1292" spans="1:73" ht="15">
      <c r="A1292"/>
      <c r="J1292"/>
      <c r="AA1292"/>
      <c r="AB1292"/>
      <c r="AC1292"/>
      <c r="AD1292"/>
      <c r="AE1292"/>
      <c r="AF1292"/>
      <c r="AG1292"/>
      <c r="AH1292"/>
      <c r="BQ1292" s="2"/>
      <c r="BR1292" s="3"/>
      <c r="BS1292" s="3"/>
      <c r="BT1292" s="3"/>
      <c r="BU1292" s="3"/>
    </row>
    <row r="1293" spans="1:73" ht="15">
      <c r="A1293"/>
      <c r="J1293"/>
      <c r="AA1293"/>
      <c r="AB1293"/>
      <c r="AC1293"/>
      <c r="AD1293"/>
      <c r="AE1293"/>
      <c r="AF1293"/>
      <c r="AG1293"/>
      <c r="AH1293"/>
      <c r="BQ1293" s="2"/>
      <c r="BR1293" s="3"/>
      <c r="BS1293" s="3"/>
      <c r="BT1293" s="3"/>
      <c r="BU1293" s="3"/>
    </row>
    <row r="1294" spans="1:73" ht="15">
      <c r="A1294"/>
      <c r="J1294"/>
      <c r="AA1294"/>
      <c r="AB1294"/>
      <c r="AC1294"/>
      <c r="AD1294"/>
      <c r="AE1294"/>
      <c r="AF1294"/>
      <c r="AG1294"/>
      <c r="AH1294"/>
      <c r="BQ1294" s="2"/>
      <c r="BR1294" s="3"/>
      <c r="BS1294" s="3"/>
      <c r="BT1294" s="3"/>
      <c r="BU1294" s="3"/>
    </row>
    <row r="1295" spans="1:73" ht="15">
      <c r="A1295"/>
      <c r="J1295"/>
      <c r="AA1295"/>
      <c r="AB1295"/>
      <c r="AC1295"/>
      <c r="AD1295"/>
      <c r="AE1295"/>
      <c r="AF1295"/>
      <c r="AG1295"/>
      <c r="AH1295"/>
      <c r="BQ1295" s="2"/>
      <c r="BR1295" s="3"/>
      <c r="BS1295" s="3"/>
      <c r="BT1295" s="3"/>
      <c r="BU1295" s="3"/>
    </row>
    <row r="1296" spans="1:73" ht="15">
      <c r="A1296"/>
      <c r="J1296"/>
      <c r="AA1296"/>
      <c r="AB1296"/>
      <c r="AC1296"/>
      <c r="AD1296"/>
      <c r="AE1296"/>
      <c r="AF1296"/>
      <c r="AG1296"/>
      <c r="AH1296"/>
      <c r="BQ1296" s="2"/>
      <c r="BR1296" s="3"/>
      <c r="BS1296" s="3"/>
      <c r="BT1296" s="3"/>
      <c r="BU1296" s="3"/>
    </row>
    <row r="1297" spans="1:73" ht="15">
      <c r="A1297"/>
      <c r="J1297"/>
      <c r="AA1297"/>
      <c r="AB1297"/>
      <c r="AC1297"/>
      <c r="AD1297"/>
      <c r="AE1297"/>
      <c r="AF1297"/>
      <c r="AG1297"/>
      <c r="AH1297"/>
      <c r="BQ1297" s="2"/>
      <c r="BR1297" s="3"/>
      <c r="BS1297" s="3"/>
      <c r="BT1297" s="3"/>
      <c r="BU1297" s="3"/>
    </row>
    <row r="1298" spans="1:73" ht="15">
      <c r="A1298"/>
      <c r="J1298"/>
      <c r="AA1298"/>
      <c r="AB1298"/>
      <c r="AC1298"/>
      <c r="AD1298"/>
      <c r="AE1298"/>
      <c r="AF1298"/>
      <c r="AG1298"/>
      <c r="AH1298"/>
      <c r="BQ1298" s="2"/>
      <c r="BR1298" s="3"/>
      <c r="BS1298" s="3"/>
      <c r="BT1298" s="3"/>
      <c r="BU1298" s="3"/>
    </row>
    <row r="1299" spans="1:73" ht="15">
      <c r="A1299"/>
      <c r="J1299"/>
      <c r="AA1299"/>
      <c r="AB1299"/>
      <c r="AC1299"/>
      <c r="AD1299"/>
      <c r="AE1299"/>
      <c r="AF1299"/>
      <c r="AG1299"/>
      <c r="AH1299"/>
      <c r="BQ1299" s="2"/>
      <c r="BR1299" s="3"/>
      <c r="BS1299" s="3"/>
      <c r="BT1299" s="3"/>
      <c r="BU1299" s="3"/>
    </row>
    <row r="1300" spans="1:73" ht="15">
      <c r="A1300"/>
      <c r="J1300"/>
      <c r="AA1300"/>
      <c r="AB1300"/>
      <c r="AC1300"/>
      <c r="AD1300"/>
      <c r="AE1300"/>
      <c r="AF1300"/>
      <c r="AG1300"/>
      <c r="AH1300"/>
      <c r="BQ1300" s="2"/>
      <c r="BR1300" s="3"/>
      <c r="BS1300" s="3"/>
      <c r="BT1300" s="3"/>
      <c r="BU1300" s="3"/>
    </row>
    <row r="1301" spans="1:73" ht="15">
      <c r="A1301"/>
      <c r="J1301"/>
      <c r="AA1301"/>
      <c r="AB1301"/>
      <c r="AC1301"/>
      <c r="AD1301"/>
      <c r="AE1301"/>
      <c r="AF1301"/>
      <c r="AG1301"/>
      <c r="AH1301"/>
      <c r="BQ1301" s="2"/>
      <c r="BR1301" s="3"/>
      <c r="BS1301" s="3"/>
      <c r="BT1301" s="3"/>
      <c r="BU1301" s="3"/>
    </row>
    <row r="1302" spans="1:73" ht="15">
      <c r="A1302"/>
      <c r="J1302"/>
      <c r="AA1302"/>
      <c r="AB1302"/>
      <c r="AC1302"/>
      <c r="AD1302"/>
      <c r="AE1302"/>
      <c r="AF1302"/>
      <c r="AG1302"/>
      <c r="AH1302"/>
      <c r="BQ1302" s="2"/>
      <c r="BR1302" s="3"/>
      <c r="BS1302" s="3"/>
      <c r="BT1302" s="3"/>
      <c r="BU1302" s="3"/>
    </row>
    <row r="1303" spans="1:73" ht="15">
      <c r="A1303"/>
      <c r="J1303"/>
      <c r="AA1303"/>
      <c r="AB1303"/>
      <c r="AC1303"/>
      <c r="AD1303"/>
      <c r="AE1303"/>
      <c r="AF1303"/>
      <c r="AG1303"/>
      <c r="AH1303"/>
      <c r="BQ1303" s="2"/>
      <c r="BR1303" s="3"/>
      <c r="BS1303" s="3"/>
      <c r="BT1303" s="3"/>
      <c r="BU1303" s="3"/>
    </row>
    <row r="1304" spans="1:73" ht="15">
      <c r="A1304"/>
      <c r="J1304"/>
      <c r="AA1304"/>
      <c r="AB1304"/>
      <c r="AC1304"/>
      <c r="AD1304"/>
      <c r="AE1304"/>
      <c r="AF1304"/>
      <c r="AG1304"/>
      <c r="AH1304"/>
      <c r="BQ1304" s="2"/>
      <c r="BR1304" s="3"/>
      <c r="BS1304" s="3"/>
      <c r="BT1304" s="3"/>
      <c r="BU1304" s="3"/>
    </row>
    <row r="1305" spans="1:73" ht="15">
      <c r="A1305"/>
      <c r="J1305"/>
      <c r="AA1305"/>
      <c r="AB1305"/>
      <c r="AC1305"/>
      <c r="AD1305"/>
      <c r="AE1305"/>
      <c r="AF1305"/>
      <c r="AG1305"/>
      <c r="AH1305"/>
      <c r="BQ1305" s="2"/>
      <c r="BR1305" s="3"/>
      <c r="BS1305" s="3"/>
      <c r="BT1305" s="3"/>
      <c r="BU1305" s="3"/>
    </row>
    <row r="1306" spans="1:73" ht="15">
      <c r="A1306"/>
      <c r="J1306"/>
      <c r="AA1306"/>
      <c r="AB1306"/>
      <c r="AC1306"/>
      <c r="AD1306"/>
      <c r="AE1306"/>
      <c r="AF1306"/>
      <c r="AG1306"/>
      <c r="AH1306"/>
      <c r="BQ1306" s="2"/>
      <c r="BR1306" s="3"/>
      <c r="BS1306" s="3"/>
      <c r="BT1306" s="3"/>
      <c r="BU1306" s="3"/>
    </row>
    <row r="1307" spans="1:73" ht="15">
      <c r="A1307"/>
      <c r="J1307"/>
      <c r="AA1307"/>
      <c r="AB1307"/>
      <c r="AC1307"/>
      <c r="AD1307"/>
      <c r="AE1307"/>
      <c r="AF1307"/>
      <c r="AG1307"/>
      <c r="AH1307"/>
      <c r="BQ1307" s="2"/>
      <c r="BR1307" s="3"/>
      <c r="BS1307" s="3"/>
      <c r="BT1307" s="3"/>
      <c r="BU1307" s="3"/>
    </row>
    <row r="1308" spans="1:73" ht="15">
      <c r="A1308"/>
      <c r="J1308"/>
      <c r="AA1308"/>
      <c r="AB1308"/>
      <c r="AC1308"/>
      <c r="AD1308"/>
      <c r="AE1308"/>
      <c r="AF1308"/>
      <c r="AG1308"/>
      <c r="AH1308"/>
      <c r="BQ1308" s="2"/>
      <c r="BR1308" s="3"/>
      <c r="BS1308" s="3"/>
      <c r="BT1308" s="3"/>
      <c r="BU1308" s="3"/>
    </row>
    <row r="1309" spans="1:73" ht="15">
      <c r="A1309"/>
      <c r="J1309"/>
      <c r="AA1309"/>
      <c r="AB1309"/>
      <c r="AC1309"/>
      <c r="AD1309"/>
      <c r="AE1309"/>
      <c r="AF1309"/>
      <c r="AG1309"/>
      <c r="AH1309"/>
      <c r="BQ1309" s="2"/>
      <c r="BR1309" s="3"/>
      <c r="BS1309" s="3"/>
      <c r="BT1309" s="3"/>
      <c r="BU1309" s="3"/>
    </row>
    <row r="1310" spans="1:73" ht="15">
      <c r="A1310"/>
      <c r="J1310"/>
      <c r="AA1310"/>
      <c r="AB1310"/>
      <c r="AC1310"/>
      <c r="AD1310"/>
      <c r="AE1310"/>
      <c r="AF1310"/>
      <c r="AG1310"/>
      <c r="AH1310"/>
      <c r="BQ1310" s="2"/>
      <c r="BR1310" s="3"/>
      <c r="BS1310" s="3"/>
      <c r="BT1310" s="3"/>
      <c r="BU1310" s="3"/>
    </row>
    <row r="1311" spans="1:73" ht="15">
      <c r="A1311"/>
      <c r="J1311"/>
      <c r="AA1311"/>
      <c r="AB1311"/>
      <c r="AC1311"/>
      <c r="AD1311"/>
      <c r="AE1311"/>
      <c r="AF1311"/>
      <c r="AG1311"/>
      <c r="AH1311"/>
      <c r="BQ1311" s="2"/>
      <c r="BR1311" s="3"/>
      <c r="BS1311" s="3"/>
      <c r="BT1311" s="3"/>
      <c r="BU1311" s="3"/>
    </row>
    <row r="1312" spans="1:73" ht="15">
      <c r="A1312"/>
      <c r="J1312"/>
      <c r="AA1312"/>
      <c r="AB1312"/>
      <c r="AC1312"/>
      <c r="AD1312"/>
      <c r="AE1312"/>
      <c r="AF1312"/>
      <c r="AG1312"/>
      <c r="AH1312"/>
      <c r="BQ1312" s="2"/>
      <c r="BR1312" s="3"/>
      <c r="BS1312" s="3"/>
      <c r="BT1312" s="3"/>
      <c r="BU1312" s="3"/>
    </row>
    <row r="1313" spans="1:73" ht="15">
      <c r="A1313"/>
      <c r="J1313"/>
      <c r="AA1313"/>
      <c r="AB1313"/>
      <c r="AC1313"/>
      <c r="AD1313"/>
      <c r="AE1313"/>
      <c r="AF1313"/>
      <c r="AG1313"/>
      <c r="AH1313"/>
      <c r="BQ1313" s="2"/>
      <c r="BR1313" s="3"/>
      <c r="BS1313" s="3"/>
      <c r="BT1313" s="3"/>
      <c r="BU1313" s="3"/>
    </row>
    <row r="1314" spans="1:73" ht="15">
      <c r="A1314"/>
      <c r="J1314"/>
      <c r="AA1314"/>
      <c r="AB1314"/>
      <c r="AC1314"/>
      <c r="AD1314"/>
      <c r="AE1314"/>
      <c r="AF1314"/>
      <c r="AG1314"/>
      <c r="AH1314"/>
      <c r="BQ1314" s="2"/>
      <c r="BR1314" s="3"/>
      <c r="BS1314" s="3"/>
      <c r="BT1314" s="3"/>
      <c r="BU1314" s="3"/>
    </row>
    <row r="1315" spans="1:73" ht="15">
      <c r="A1315"/>
      <c r="J1315"/>
      <c r="AA1315"/>
      <c r="AB1315"/>
      <c r="AC1315"/>
      <c r="AD1315"/>
      <c r="AE1315"/>
      <c r="AF1315"/>
      <c r="AG1315"/>
      <c r="AH1315"/>
      <c r="BQ1315" s="2"/>
      <c r="BR1315" s="3"/>
      <c r="BS1315" s="3"/>
      <c r="BT1315" s="3"/>
      <c r="BU1315" s="3"/>
    </row>
    <row r="1316" spans="1:73" ht="15">
      <c r="A1316"/>
      <c r="J1316"/>
      <c r="AA1316"/>
      <c r="AB1316"/>
      <c r="AC1316"/>
      <c r="AD1316"/>
      <c r="AE1316"/>
      <c r="AF1316"/>
      <c r="AG1316"/>
      <c r="AH1316"/>
      <c r="BQ1316" s="2"/>
      <c r="BR1316" s="3"/>
      <c r="BS1316" s="3"/>
      <c r="BT1316" s="3"/>
      <c r="BU1316" s="3"/>
    </row>
    <row r="1317" spans="1:73" ht="15">
      <c r="A1317"/>
      <c r="J1317"/>
      <c r="AA1317"/>
      <c r="AB1317"/>
      <c r="AC1317"/>
      <c r="AD1317"/>
      <c r="AE1317"/>
      <c r="AF1317"/>
      <c r="AG1317"/>
      <c r="AH1317"/>
      <c r="BQ1317" s="2"/>
      <c r="BR1317" s="3"/>
      <c r="BS1317" s="3"/>
      <c r="BT1317" s="3"/>
      <c r="BU1317" s="3"/>
    </row>
    <row r="1318" spans="1:73" ht="15">
      <c r="A1318"/>
      <c r="J1318"/>
      <c r="AA1318"/>
      <c r="AB1318"/>
      <c r="AC1318"/>
      <c r="AD1318"/>
      <c r="AE1318"/>
      <c r="AF1318"/>
      <c r="AG1318"/>
      <c r="AH1318"/>
      <c r="BQ1318" s="2"/>
      <c r="BR1318" s="3"/>
      <c r="BS1318" s="3"/>
      <c r="BT1318" s="3"/>
      <c r="BU1318" s="3"/>
    </row>
    <row r="1319" spans="1:73" ht="15">
      <c r="A1319"/>
      <c r="J1319"/>
      <c r="AA1319"/>
      <c r="AB1319"/>
      <c r="AC1319"/>
      <c r="AD1319"/>
      <c r="AE1319"/>
      <c r="AF1319"/>
      <c r="AG1319"/>
      <c r="AH1319"/>
      <c r="BQ1319" s="2"/>
      <c r="BR1319" s="3"/>
      <c r="BS1319" s="3"/>
      <c r="BT1319" s="3"/>
      <c r="BU1319" s="3"/>
    </row>
    <row r="1320" spans="1:73" ht="15">
      <c r="A1320"/>
      <c r="J1320"/>
      <c r="AA1320"/>
      <c r="AB1320"/>
      <c r="AC1320"/>
      <c r="AD1320"/>
      <c r="AE1320"/>
      <c r="AF1320"/>
      <c r="AG1320"/>
      <c r="AH1320"/>
      <c r="BQ1320" s="2"/>
      <c r="BR1320" s="3"/>
      <c r="BS1320" s="3"/>
      <c r="BT1320" s="3"/>
      <c r="BU1320" s="3"/>
    </row>
    <row r="1321" spans="1:73" ht="15">
      <c r="A1321"/>
      <c r="J1321"/>
      <c r="AA1321"/>
      <c r="AB1321"/>
      <c r="AC1321"/>
      <c r="AD1321"/>
      <c r="AE1321"/>
      <c r="AF1321"/>
      <c r="AG1321"/>
      <c r="AH1321"/>
      <c r="BQ1321" s="2"/>
      <c r="BR1321" s="3"/>
      <c r="BS1321" s="3"/>
      <c r="BT1321" s="3"/>
      <c r="BU1321" s="3"/>
    </row>
    <row r="1322" spans="1:73" ht="15">
      <c r="A1322"/>
      <c r="J1322"/>
      <c r="AA1322"/>
      <c r="AB1322"/>
      <c r="AC1322"/>
      <c r="AD1322"/>
      <c r="AE1322"/>
      <c r="AF1322"/>
      <c r="AG1322"/>
      <c r="AH1322"/>
      <c r="BQ1322" s="2"/>
      <c r="BR1322" s="3"/>
      <c r="BS1322" s="3"/>
      <c r="BT1322" s="3"/>
      <c r="BU1322" s="3"/>
    </row>
    <row r="1323" spans="1:73" ht="15">
      <c r="A1323"/>
      <c r="J1323"/>
      <c r="AA1323"/>
      <c r="AB1323"/>
      <c r="AC1323"/>
      <c r="AD1323"/>
      <c r="AE1323"/>
      <c r="AF1323"/>
      <c r="AG1323"/>
      <c r="AH1323"/>
      <c r="BQ1323" s="2"/>
      <c r="BR1323" s="3"/>
      <c r="BS1323" s="3"/>
      <c r="BT1323" s="3"/>
      <c r="BU1323" s="3"/>
    </row>
    <row r="1324" spans="1:73" ht="15">
      <c r="A1324"/>
      <c r="J1324"/>
      <c r="AA1324"/>
      <c r="AB1324"/>
      <c r="AC1324"/>
      <c r="AD1324"/>
      <c r="AE1324"/>
      <c r="AF1324"/>
      <c r="AG1324"/>
      <c r="AH1324"/>
      <c r="BQ1324" s="2"/>
      <c r="BR1324" s="3"/>
      <c r="BS1324" s="3"/>
      <c r="BT1324" s="3"/>
      <c r="BU1324" s="3"/>
    </row>
    <row r="1325" spans="1:73" ht="15">
      <c r="A1325"/>
      <c r="J1325"/>
      <c r="AA1325"/>
      <c r="AB1325"/>
      <c r="AC1325"/>
      <c r="AD1325"/>
      <c r="AE1325"/>
      <c r="AF1325"/>
      <c r="AG1325"/>
      <c r="AH1325"/>
      <c r="BQ1325" s="2"/>
      <c r="BR1325" s="3"/>
      <c r="BS1325" s="3"/>
      <c r="BT1325" s="3"/>
      <c r="BU1325" s="3"/>
    </row>
    <row r="1326" spans="1:73" ht="15">
      <c r="A1326"/>
      <c r="J1326"/>
      <c r="AA1326"/>
      <c r="AB1326"/>
      <c r="AC1326"/>
      <c r="AD1326"/>
      <c r="AE1326"/>
      <c r="AF1326"/>
      <c r="AG1326"/>
      <c r="AH1326"/>
      <c r="BQ1326" s="2"/>
      <c r="BR1326" s="3"/>
      <c r="BS1326" s="3"/>
      <c r="BT1326" s="3"/>
      <c r="BU1326" s="3"/>
    </row>
    <row r="1327" spans="1:73" ht="15">
      <c r="A1327"/>
      <c r="J1327"/>
      <c r="AA1327"/>
      <c r="AB1327"/>
      <c r="AC1327"/>
      <c r="AD1327"/>
      <c r="AE1327"/>
      <c r="AF1327"/>
      <c r="AG1327"/>
      <c r="AH1327"/>
      <c r="BQ1327" s="2"/>
      <c r="BR1327" s="3"/>
      <c r="BS1327" s="3"/>
      <c r="BT1327" s="3"/>
      <c r="BU1327" s="3"/>
    </row>
    <row r="1328" spans="1:73" ht="15">
      <c r="A1328"/>
      <c r="J1328"/>
      <c r="AA1328"/>
      <c r="AB1328"/>
      <c r="AC1328"/>
      <c r="AD1328"/>
      <c r="AE1328"/>
      <c r="AF1328"/>
      <c r="AG1328"/>
      <c r="AH1328"/>
      <c r="BQ1328" s="2"/>
      <c r="BR1328" s="3"/>
      <c r="BS1328" s="3"/>
      <c r="BT1328" s="3"/>
      <c r="BU1328" s="3"/>
    </row>
    <row r="1329" spans="1:73" ht="15">
      <c r="A1329"/>
      <c r="J1329"/>
      <c r="AA1329"/>
      <c r="AB1329"/>
      <c r="AC1329"/>
      <c r="AD1329"/>
      <c r="AE1329"/>
      <c r="AF1329"/>
      <c r="AG1329"/>
      <c r="AH1329"/>
      <c r="BQ1329" s="2"/>
      <c r="BR1329" s="3"/>
      <c r="BS1329" s="3"/>
      <c r="BT1329" s="3"/>
      <c r="BU1329" s="3"/>
    </row>
    <row r="1330" spans="1:73" ht="15">
      <c r="A1330"/>
      <c r="J1330"/>
      <c r="AA1330"/>
      <c r="AB1330"/>
      <c r="AC1330"/>
      <c r="AD1330"/>
      <c r="AE1330"/>
      <c r="AF1330"/>
      <c r="AG1330"/>
      <c r="AH1330"/>
      <c r="BQ1330" s="2"/>
      <c r="BR1330" s="3"/>
      <c r="BS1330" s="3"/>
      <c r="BT1330" s="3"/>
      <c r="BU1330" s="3"/>
    </row>
    <row r="1331" spans="1:73" ht="15">
      <c r="A1331"/>
      <c r="J1331"/>
      <c r="AA1331"/>
      <c r="AB1331"/>
      <c r="AC1331"/>
      <c r="AD1331"/>
      <c r="AE1331"/>
      <c r="AF1331"/>
      <c r="AG1331"/>
      <c r="AH1331"/>
      <c r="BQ1331" s="2"/>
      <c r="BR1331" s="3"/>
      <c r="BS1331" s="3"/>
      <c r="BT1331" s="3"/>
      <c r="BU1331" s="3"/>
    </row>
    <row r="1332" spans="1:73" ht="15">
      <c r="A1332"/>
      <c r="J1332"/>
      <c r="AA1332"/>
      <c r="AB1332"/>
      <c r="AC1332"/>
      <c r="AD1332"/>
      <c r="AE1332"/>
      <c r="AF1332"/>
      <c r="AG1332"/>
      <c r="AH1332"/>
      <c r="BQ1332" s="2"/>
      <c r="BR1332" s="3"/>
      <c r="BS1332" s="3"/>
      <c r="BT1332" s="3"/>
      <c r="BU1332" s="3"/>
    </row>
    <row r="1333" spans="1:73" ht="15">
      <c r="A1333"/>
      <c r="J1333"/>
      <c r="AA1333"/>
      <c r="AB1333"/>
      <c r="AC1333"/>
      <c r="AD1333"/>
      <c r="AE1333"/>
      <c r="AF1333"/>
      <c r="AG1333"/>
      <c r="AH1333"/>
      <c r="BQ1333" s="2"/>
      <c r="BR1333" s="3"/>
      <c r="BS1333" s="3"/>
      <c r="BT1333" s="3"/>
      <c r="BU1333" s="3"/>
    </row>
    <row r="1334" spans="1:73" ht="15">
      <c r="A1334"/>
      <c r="J1334"/>
      <c r="AA1334"/>
      <c r="AB1334"/>
      <c r="AC1334"/>
      <c r="AD1334"/>
      <c r="AE1334"/>
      <c r="AF1334"/>
      <c r="AG1334"/>
      <c r="AH1334"/>
      <c r="BQ1334" s="2"/>
      <c r="BR1334" s="3"/>
      <c r="BS1334" s="3"/>
      <c r="BT1334" s="3"/>
      <c r="BU1334" s="3"/>
    </row>
    <row r="1335" spans="1:73" ht="15">
      <c r="A1335"/>
      <c r="J1335"/>
      <c r="AA1335"/>
      <c r="AB1335"/>
      <c r="AC1335"/>
      <c r="AD1335"/>
      <c r="AE1335"/>
      <c r="AF1335"/>
      <c r="AG1335"/>
      <c r="AH1335"/>
      <c r="BQ1335" s="2"/>
      <c r="BR1335" s="3"/>
      <c r="BS1335" s="3"/>
      <c r="BT1335" s="3"/>
      <c r="BU1335" s="3"/>
    </row>
    <row r="1336" spans="1:73" ht="15">
      <c r="A1336"/>
      <c r="J1336"/>
      <c r="AA1336"/>
      <c r="AB1336"/>
      <c r="AC1336"/>
      <c r="AD1336"/>
      <c r="AE1336"/>
      <c r="AF1336"/>
      <c r="AG1336"/>
      <c r="AH1336"/>
      <c r="BQ1336" s="2"/>
      <c r="BR1336" s="3"/>
      <c r="BS1336" s="3"/>
      <c r="BT1336" s="3"/>
      <c r="BU1336" s="3"/>
    </row>
    <row r="1337" spans="1:73" ht="15">
      <c r="A1337"/>
      <c r="J1337"/>
      <c r="AA1337"/>
      <c r="AB1337"/>
      <c r="AC1337"/>
      <c r="AD1337"/>
      <c r="AE1337"/>
      <c r="AF1337"/>
      <c r="AG1337"/>
      <c r="AH1337"/>
      <c r="BQ1337" s="2"/>
      <c r="BR1337" s="3"/>
      <c r="BS1337" s="3"/>
      <c r="BT1337" s="3"/>
      <c r="BU1337" s="3"/>
    </row>
    <row r="1338" spans="1:73" ht="15">
      <c r="A1338"/>
      <c r="J1338"/>
      <c r="AA1338"/>
      <c r="AB1338"/>
      <c r="AC1338"/>
      <c r="AD1338"/>
      <c r="AE1338"/>
      <c r="AF1338"/>
      <c r="AG1338"/>
      <c r="AH1338"/>
      <c r="BQ1338" s="2"/>
      <c r="BR1338" s="3"/>
      <c r="BS1338" s="3"/>
      <c r="BT1338" s="3"/>
      <c r="BU1338" s="3"/>
    </row>
    <row r="1339" spans="1:73" ht="15">
      <c r="A1339"/>
      <c r="J1339"/>
      <c r="AA1339"/>
      <c r="AB1339"/>
      <c r="AC1339"/>
      <c r="AD1339"/>
      <c r="AE1339"/>
      <c r="AF1339"/>
      <c r="AG1339"/>
      <c r="AH1339"/>
      <c r="BQ1339" s="2"/>
      <c r="BR1339" s="3"/>
      <c r="BS1339" s="3"/>
      <c r="BT1339" s="3"/>
      <c r="BU1339" s="3"/>
    </row>
    <row r="1340" spans="1:73" ht="15">
      <c r="A1340"/>
      <c r="J1340"/>
      <c r="AA1340"/>
      <c r="AB1340"/>
      <c r="AC1340"/>
      <c r="AD1340"/>
      <c r="AE1340"/>
      <c r="AF1340"/>
      <c r="AG1340"/>
      <c r="AH1340"/>
      <c r="BQ1340" s="2"/>
      <c r="BR1340" s="3"/>
      <c r="BS1340" s="3"/>
      <c r="BT1340" s="3"/>
      <c r="BU1340" s="3"/>
    </row>
    <row r="1341" spans="1:73" ht="15">
      <c r="A1341"/>
      <c r="J1341"/>
      <c r="AA1341"/>
      <c r="AB1341"/>
      <c r="AC1341"/>
      <c r="AD1341"/>
      <c r="AE1341"/>
      <c r="AF1341"/>
      <c r="AG1341"/>
      <c r="AH1341"/>
      <c r="BQ1341" s="2"/>
      <c r="BR1341" s="3"/>
      <c r="BS1341" s="3"/>
      <c r="BT1341" s="3"/>
      <c r="BU1341" s="3"/>
    </row>
    <row r="1342" spans="1:73" ht="15">
      <c r="A1342"/>
      <c r="J1342"/>
      <c r="AA1342"/>
      <c r="AB1342"/>
      <c r="AC1342"/>
      <c r="AD1342"/>
      <c r="AE1342"/>
      <c r="AF1342"/>
      <c r="AG1342"/>
      <c r="AH1342"/>
      <c r="BQ1342" s="2"/>
      <c r="BR1342" s="3"/>
      <c r="BS1342" s="3"/>
      <c r="BT1342" s="3"/>
      <c r="BU1342" s="3"/>
    </row>
    <row r="1343" spans="1:73" ht="15">
      <c r="A1343"/>
      <c r="J1343"/>
      <c r="AA1343"/>
      <c r="AB1343"/>
      <c r="AC1343"/>
      <c r="AD1343"/>
      <c r="AE1343"/>
      <c r="AF1343"/>
      <c r="AG1343"/>
      <c r="AH1343"/>
      <c r="BQ1343" s="2"/>
      <c r="BR1343" s="3"/>
      <c r="BS1343" s="3"/>
      <c r="BT1343" s="3"/>
      <c r="BU1343" s="3"/>
    </row>
    <row r="1344" spans="1:73" ht="15">
      <c r="A1344"/>
      <c r="J1344"/>
      <c r="AA1344"/>
      <c r="AB1344"/>
      <c r="AC1344"/>
      <c r="AD1344"/>
      <c r="AE1344"/>
      <c r="AF1344"/>
      <c r="AG1344"/>
      <c r="AH1344"/>
      <c r="BQ1344" s="2"/>
      <c r="BR1344" s="3"/>
      <c r="BS1344" s="3"/>
      <c r="BT1344" s="3"/>
      <c r="BU1344" s="3"/>
    </row>
    <row r="1345" spans="1:73" ht="15">
      <c r="A1345"/>
      <c r="J1345"/>
      <c r="AA1345"/>
      <c r="AB1345"/>
      <c r="AC1345"/>
      <c r="AD1345"/>
      <c r="AE1345"/>
      <c r="AF1345"/>
      <c r="AG1345"/>
      <c r="AH1345"/>
      <c r="BQ1345" s="2"/>
      <c r="BR1345" s="3"/>
      <c r="BS1345" s="3"/>
      <c r="BT1345" s="3"/>
      <c r="BU1345" s="3"/>
    </row>
    <row r="1346" spans="1:73" ht="15">
      <c r="A1346"/>
      <c r="J1346"/>
      <c r="AA1346"/>
      <c r="AB1346"/>
      <c r="AC1346"/>
      <c r="AD1346"/>
      <c r="AE1346"/>
      <c r="AF1346"/>
      <c r="AG1346"/>
      <c r="AH1346"/>
      <c r="BQ1346" s="2"/>
      <c r="BR1346" s="3"/>
      <c r="BS1346" s="3"/>
      <c r="BT1346" s="3"/>
      <c r="BU1346" s="3"/>
    </row>
    <row r="1347" spans="1:73" ht="15">
      <c r="A1347"/>
      <c r="J1347"/>
      <c r="AA1347"/>
      <c r="AB1347"/>
      <c r="AC1347"/>
      <c r="AD1347"/>
      <c r="AE1347"/>
      <c r="AF1347"/>
      <c r="AG1347"/>
      <c r="AH1347"/>
      <c r="BQ1347" s="2"/>
      <c r="BR1347" s="3"/>
      <c r="BS1347" s="3"/>
      <c r="BT1347" s="3"/>
      <c r="BU1347" s="3"/>
    </row>
    <row r="1348" spans="1:73" ht="15">
      <c r="A1348"/>
      <c r="J1348"/>
      <c r="AA1348"/>
      <c r="AB1348"/>
      <c r="AC1348"/>
      <c r="AD1348"/>
      <c r="AE1348"/>
      <c r="AF1348"/>
      <c r="AG1348"/>
      <c r="AH1348"/>
      <c r="BQ1348" s="2"/>
      <c r="BR1348" s="3"/>
      <c r="BS1348" s="3"/>
      <c r="BT1348" s="3"/>
      <c r="BU1348" s="3"/>
    </row>
    <row r="1349" spans="1:73" ht="15">
      <c r="A1349"/>
      <c r="J1349"/>
      <c r="AA1349"/>
      <c r="AB1349"/>
      <c r="AC1349"/>
      <c r="AD1349"/>
      <c r="AE1349"/>
      <c r="AF1349"/>
      <c r="AG1349"/>
      <c r="AH1349"/>
      <c r="BQ1349" s="2"/>
      <c r="BR1349" s="3"/>
      <c r="BS1349" s="3"/>
      <c r="BT1349" s="3"/>
      <c r="BU1349" s="3"/>
    </row>
    <row r="1350" spans="1:73" ht="15">
      <c r="A1350"/>
      <c r="J1350"/>
      <c r="AA1350"/>
      <c r="AB1350"/>
      <c r="AC1350"/>
      <c r="AD1350"/>
      <c r="AE1350"/>
      <c r="AF1350"/>
      <c r="AG1350"/>
      <c r="AH1350"/>
      <c r="BQ1350" s="2"/>
      <c r="BR1350" s="3"/>
      <c r="BS1350" s="3"/>
      <c r="BT1350" s="3"/>
      <c r="BU1350" s="3"/>
    </row>
    <row r="1351" spans="1:73" ht="15">
      <c r="A1351"/>
      <c r="J1351"/>
      <c r="AA1351"/>
      <c r="AB1351"/>
      <c r="AC1351"/>
      <c r="AD1351"/>
      <c r="AE1351"/>
      <c r="AF1351"/>
      <c r="AG1351"/>
      <c r="AH1351"/>
      <c r="BQ1351" s="2"/>
      <c r="BR1351" s="3"/>
      <c r="BS1351" s="3"/>
      <c r="BT1351" s="3"/>
      <c r="BU1351" s="3"/>
    </row>
    <row r="1352" spans="1:73" ht="15">
      <c r="A1352"/>
      <c r="J1352"/>
      <c r="AA1352"/>
      <c r="AB1352"/>
      <c r="AC1352"/>
      <c r="AD1352"/>
      <c r="AE1352"/>
      <c r="AF1352"/>
      <c r="AG1352"/>
      <c r="AH1352"/>
      <c r="BQ1352" s="2"/>
      <c r="BR1352" s="3"/>
      <c r="BS1352" s="3"/>
      <c r="BT1352" s="3"/>
      <c r="BU1352" s="3"/>
    </row>
    <row r="1353" spans="1:73" ht="15">
      <c r="A1353"/>
      <c r="J1353"/>
      <c r="AA1353"/>
      <c r="AB1353"/>
      <c r="AC1353"/>
      <c r="AD1353"/>
      <c r="AE1353"/>
      <c r="AF1353"/>
      <c r="AG1353"/>
      <c r="AH1353"/>
      <c r="BQ1353" s="2"/>
      <c r="BR1353" s="3"/>
      <c r="BS1353" s="3"/>
      <c r="BT1353" s="3"/>
      <c r="BU1353" s="3"/>
    </row>
    <row r="1354" spans="1:73" ht="15">
      <c r="A1354"/>
      <c r="J1354"/>
      <c r="AA1354"/>
      <c r="AB1354"/>
      <c r="AC1354"/>
      <c r="AD1354"/>
      <c r="AE1354"/>
      <c r="AF1354"/>
      <c r="AG1354"/>
      <c r="AH1354"/>
      <c r="BQ1354" s="2"/>
      <c r="BR1354" s="3"/>
      <c r="BS1354" s="3"/>
      <c r="BT1354" s="3"/>
      <c r="BU1354" s="3"/>
    </row>
    <row r="1355" spans="1:73" ht="15">
      <c r="A1355"/>
      <c r="J1355"/>
      <c r="AA1355"/>
      <c r="AB1355"/>
      <c r="AC1355"/>
      <c r="AD1355"/>
      <c r="AE1355"/>
      <c r="AF1355"/>
      <c r="AG1355"/>
      <c r="AH1355"/>
      <c r="BQ1355" s="2"/>
      <c r="BR1355" s="3"/>
      <c r="BS1355" s="3"/>
      <c r="BT1355" s="3"/>
      <c r="BU1355" s="3"/>
    </row>
    <row r="1356" spans="1:73" ht="15">
      <c r="A1356"/>
      <c r="J1356"/>
      <c r="AA1356"/>
      <c r="AB1356"/>
      <c r="AC1356"/>
      <c r="AD1356"/>
      <c r="AE1356"/>
      <c r="AF1356"/>
      <c r="AG1356"/>
      <c r="AH1356"/>
      <c r="BQ1356" s="2"/>
      <c r="BR1356" s="3"/>
      <c r="BS1356" s="3"/>
      <c r="BT1356" s="3"/>
      <c r="BU1356" s="3"/>
    </row>
    <row r="1357" spans="1:73" ht="15">
      <c r="A1357"/>
      <c r="J1357"/>
      <c r="AA1357"/>
      <c r="AB1357"/>
      <c r="AC1357"/>
      <c r="AD1357"/>
      <c r="AE1357"/>
      <c r="AF1357"/>
      <c r="AG1357"/>
      <c r="AH1357"/>
      <c r="BQ1357" s="2"/>
      <c r="BR1357" s="3"/>
      <c r="BS1357" s="3"/>
      <c r="BT1357" s="3"/>
      <c r="BU1357" s="3"/>
    </row>
    <row r="1358" spans="1:73" ht="15">
      <c r="A1358"/>
      <c r="J1358"/>
      <c r="AA1358"/>
      <c r="AB1358"/>
      <c r="AC1358"/>
      <c r="AD1358"/>
      <c r="AE1358"/>
      <c r="AF1358"/>
      <c r="AG1358"/>
      <c r="AH1358"/>
      <c r="BQ1358" s="2"/>
      <c r="BR1358" s="3"/>
      <c r="BS1358" s="3"/>
      <c r="BT1358" s="3"/>
      <c r="BU1358" s="3"/>
    </row>
    <row r="1359" spans="1:73" ht="15">
      <c r="A1359"/>
      <c r="J1359"/>
      <c r="AA1359"/>
      <c r="AB1359"/>
      <c r="AC1359"/>
      <c r="AD1359"/>
      <c r="AE1359"/>
      <c r="AF1359"/>
      <c r="AG1359"/>
      <c r="AH1359"/>
      <c r="BQ1359" s="2"/>
      <c r="BR1359" s="3"/>
      <c r="BS1359" s="3"/>
      <c r="BT1359" s="3"/>
      <c r="BU1359" s="3"/>
    </row>
    <row r="1360" spans="1:73" ht="15">
      <c r="A1360"/>
      <c r="J1360"/>
      <c r="AA1360"/>
      <c r="AB1360"/>
      <c r="AC1360"/>
      <c r="AD1360"/>
      <c r="AE1360"/>
      <c r="AF1360"/>
      <c r="AG1360"/>
      <c r="AH1360"/>
      <c r="BQ1360" s="2"/>
      <c r="BR1360" s="3"/>
      <c r="BS1360" s="3"/>
      <c r="BT1360" s="3"/>
      <c r="BU1360" s="3"/>
    </row>
    <row r="1361" spans="1:73" ht="15">
      <c r="A1361"/>
      <c r="J1361"/>
      <c r="AA1361"/>
      <c r="AB1361"/>
      <c r="AC1361"/>
      <c r="AD1361"/>
      <c r="AE1361"/>
      <c r="AF1361"/>
      <c r="AG1361"/>
      <c r="AH1361"/>
      <c r="BQ1361" s="2"/>
      <c r="BR1361" s="3"/>
      <c r="BS1361" s="3"/>
      <c r="BT1361" s="3"/>
      <c r="BU1361" s="3"/>
    </row>
    <row r="1362" spans="1:73" ht="15">
      <c r="A1362"/>
      <c r="J1362"/>
      <c r="AA1362"/>
      <c r="AB1362"/>
      <c r="AC1362"/>
      <c r="AD1362"/>
      <c r="AE1362"/>
      <c r="AF1362"/>
      <c r="AG1362"/>
      <c r="AH1362"/>
      <c r="BQ1362" s="2"/>
      <c r="BR1362" s="3"/>
      <c r="BS1362" s="3"/>
      <c r="BT1362" s="3"/>
      <c r="BU13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2.28125" style="0" bestFit="1" customWidth="1"/>
    <col min="38" max="38" width="14.140625" style="0" bestFit="1" customWidth="1"/>
    <col min="39" max="39" width="17.14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597</v>
      </c>
      <c r="Z2" s="52" t="s">
        <v>598</v>
      </c>
      <c r="AA2" s="52" t="s">
        <v>599</v>
      </c>
      <c r="AB2" s="52" t="s">
        <v>600</v>
      </c>
      <c r="AC2" s="52" t="s">
        <v>601</v>
      </c>
      <c r="AD2" s="52" t="s">
        <v>602</v>
      </c>
      <c r="AE2" s="52" t="s">
        <v>603</v>
      </c>
      <c r="AF2" s="52" t="s">
        <v>604</v>
      </c>
      <c r="AG2" s="52" t="s">
        <v>607</v>
      </c>
      <c r="AH2" s="13" t="s">
        <v>662</v>
      </c>
      <c r="AI2" s="13" t="s">
        <v>673</v>
      </c>
      <c r="AJ2" s="13" t="s">
        <v>684</v>
      </c>
      <c r="AK2" s="13" t="s">
        <v>696</v>
      </c>
      <c r="AL2" s="13" t="s">
        <v>707</v>
      </c>
      <c r="AM2" s="13" t="s">
        <v>721</v>
      </c>
    </row>
    <row r="3" spans="1:39" ht="15">
      <c r="A3" s="80" t="s">
        <v>343</v>
      </c>
      <c r="B3" s="67" t="s">
        <v>352</v>
      </c>
      <c r="C3" s="67" t="s">
        <v>56</v>
      </c>
      <c r="D3" s="100"/>
      <c r="E3" s="99"/>
      <c r="F3" s="101" t="s">
        <v>1620</v>
      </c>
      <c r="G3" s="102"/>
      <c r="H3" s="102"/>
      <c r="I3" s="103">
        <v>3</v>
      </c>
      <c r="J3" s="104"/>
      <c r="K3" s="48">
        <v>28</v>
      </c>
      <c r="L3" s="48">
        <v>37</v>
      </c>
      <c r="M3" s="48">
        <v>0</v>
      </c>
      <c r="N3" s="48">
        <v>37</v>
      </c>
      <c r="O3" s="48">
        <v>4</v>
      </c>
      <c r="P3" s="49">
        <v>0</v>
      </c>
      <c r="Q3" s="49">
        <v>0</v>
      </c>
      <c r="R3" s="48">
        <v>1</v>
      </c>
      <c r="S3" s="48">
        <v>0</v>
      </c>
      <c r="T3" s="48">
        <v>28</v>
      </c>
      <c r="U3" s="48">
        <v>37</v>
      </c>
      <c r="V3" s="48">
        <v>4</v>
      </c>
      <c r="W3" s="49">
        <v>2.57398</v>
      </c>
      <c r="X3" s="49">
        <v>0.04365079365079365</v>
      </c>
      <c r="Y3" s="48">
        <v>36</v>
      </c>
      <c r="Z3" s="49">
        <v>3.272727272727273</v>
      </c>
      <c r="AA3" s="48">
        <v>39</v>
      </c>
      <c r="AB3" s="49">
        <v>3.5454545454545454</v>
      </c>
      <c r="AC3" s="48">
        <v>0</v>
      </c>
      <c r="AD3" s="49">
        <v>0</v>
      </c>
      <c r="AE3" s="48">
        <v>1025</v>
      </c>
      <c r="AF3" s="49">
        <v>93.18181818181819</v>
      </c>
      <c r="AG3" s="48">
        <v>1100</v>
      </c>
      <c r="AH3" s="89"/>
      <c r="AI3" s="89"/>
      <c r="AJ3" s="89"/>
      <c r="AK3" s="89" t="s">
        <v>1348</v>
      </c>
      <c r="AL3" s="112" t="s">
        <v>1350</v>
      </c>
      <c r="AM3" s="112" t="s">
        <v>1384</v>
      </c>
    </row>
    <row r="4" spans="1:39" ht="15">
      <c r="A4" s="129" t="s">
        <v>344</v>
      </c>
      <c r="B4" s="67" t="s">
        <v>353</v>
      </c>
      <c r="C4" s="67" t="s">
        <v>56</v>
      </c>
      <c r="D4" s="106"/>
      <c r="E4" s="105"/>
      <c r="F4" s="107" t="s">
        <v>1621</v>
      </c>
      <c r="G4" s="108"/>
      <c r="H4" s="108"/>
      <c r="I4" s="109">
        <v>4</v>
      </c>
      <c r="J4" s="110"/>
      <c r="K4" s="48">
        <v>16</v>
      </c>
      <c r="L4" s="48">
        <v>16</v>
      </c>
      <c r="M4" s="48">
        <v>4</v>
      </c>
      <c r="N4" s="48">
        <v>20</v>
      </c>
      <c r="O4" s="48">
        <v>1</v>
      </c>
      <c r="P4" s="49">
        <v>0</v>
      </c>
      <c r="Q4" s="49">
        <v>0</v>
      </c>
      <c r="R4" s="48">
        <v>1</v>
      </c>
      <c r="S4" s="48">
        <v>0</v>
      </c>
      <c r="T4" s="48">
        <v>16</v>
      </c>
      <c r="U4" s="48">
        <v>20</v>
      </c>
      <c r="V4" s="48">
        <v>5</v>
      </c>
      <c r="W4" s="49">
        <v>2.53125</v>
      </c>
      <c r="X4" s="49">
        <v>0.07083333333333333</v>
      </c>
      <c r="Y4" s="48">
        <v>30</v>
      </c>
      <c r="Z4" s="49">
        <v>2.7958993476234855</v>
      </c>
      <c r="AA4" s="48">
        <v>29</v>
      </c>
      <c r="AB4" s="49">
        <v>2.7027027027027026</v>
      </c>
      <c r="AC4" s="48">
        <v>0</v>
      </c>
      <c r="AD4" s="49">
        <v>0</v>
      </c>
      <c r="AE4" s="48">
        <v>1014</v>
      </c>
      <c r="AF4" s="49">
        <v>94.50139794967382</v>
      </c>
      <c r="AG4" s="48">
        <v>1073</v>
      </c>
      <c r="AH4" s="89"/>
      <c r="AI4" s="89"/>
      <c r="AJ4" s="89"/>
      <c r="AK4" s="89" t="s">
        <v>1348</v>
      </c>
      <c r="AL4" s="112" t="s">
        <v>1351</v>
      </c>
      <c r="AM4" s="112" t="s">
        <v>1385</v>
      </c>
    </row>
    <row r="5" spans="1:39" ht="15">
      <c r="A5" s="129" t="s">
        <v>345</v>
      </c>
      <c r="B5" s="67" t="s">
        <v>354</v>
      </c>
      <c r="C5" s="67" t="s">
        <v>56</v>
      </c>
      <c r="D5" s="106"/>
      <c r="E5" s="105"/>
      <c r="F5" s="107" t="s">
        <v>1622</v>
      </c>
      <c r="G5" s="108"/>
      <c r="H5" s="108"/>
      <c r="I5" s="109">
        <v>5</v>
      </c>
      <c r="J5" s="110"/>
      <c r="K5" s="48">
        <v>13</v>
      </c>
      <c r="L5" s="48">
        <v>12</v>
      </c>
      <c r="M5" s="48">
        <v>0</v>
      </c>
      <c r="N5" s="48">
        <v>12</v>
      </c>
      <c r="O5" s="48">
        <v>0</v>
      </c>
      <c r="P5" s="49">
        <v>0</v>
      </c>
      <c r="Q5" s="49">
        <v>0</v>
      </c>
      <c r="R5" s="48">
        <v>1</v>
      </c>
      <c r="S5" s="48">
        <v>0</v>
      </c>
      <c r="T5" s="48">
        <v>13</v>
      </c>
      <c r="U5" s="48">
        <v>12</v>
      </c>
      <c r="V5" s="48">
        <v>4</v>
      </c>
      <c r="W5" s="49">
        <v>2.248521</v>
      </c>
      <c r="X5" s="49">
        <v>0.07692307692307693</v>
      </c>
      <c r="Y5" s="48">
        <v>27</v>
      </c>
      <c r="Z5" s="49">
        <v>3.2335329341317367</v>
      </c>
      <c r="AA5" s="48">
        <v>33</v>
      </c>
      <c r="AB5" s="49">
        <v>3.9520958083832336</v>
      </c>
      <c r="AC5" s="48">
        <v>0</v>
      </c>
      <c r="AD5" s="49">
        <v>0</v>
      </c>
      <c r="AE5" s="48">
        <v>775</v>
      </c>
      <c r="AF5" s="49">
        <v>92.81437125748504</v>
      </c>
      <c r="AG5" s="48">
        <v>835</v>
      </c>
      <c r="AH5" s="89"/>
      <c r="AI5" s="89"/>
      <c r="AJ5" s="89"/>
      <c r="AK5" s="89" t="s">
        <v>1348</v>
      </c>
      <c r="AL5" s="112" t="s">
        <v>1352</v>
      </c>
      <c r="AM5" s="112" t="s">
        <v>1386</v>
      </c>
    </row>
    <row r="6" spans="1:39" ht="15">
      <c r="A6" s="129" t="s">
        <v>346</v>
      </c>
      <c r="B6" s="67" t="s">
        <v>355</v>
      </c>
      <c r="C6" s="67" t="s">
        <v>56</v>
      </c>
      <c r="D6" s="106"/>
      <c r="E6" s="105"/>
      <c r="F6" s="107" t="s">
        <v>1623</v>
      </c>
      <c r="G6" s="108"/>
      <c r="H6" s="108"/>
      <c r="I6" s="109">
        <v>6</v>
      </c>
      <c r="J6" s="110"/>
      <c r="K6" s="48">
        <v>11</v>
      </c>
      <c r="L6" s="48">
        <v>9</v>
      </c>
      <c r="M6" s="48">
        <v>14</v>
      </c>
      <c r="N6" s="48">
        <v>23</v>
      </c>
      <c r="O6" s="48">
        <v>5</v>
      </c>
      <c r="P6" s="49">
        <v>0</v>
      </c>
      <c r="Q6" s="49">
        <v>0</v>
      </c>
      <c r="R6" s="48">
        <v>1</v>
      </c>
      <c r="S6" s="48">
        <v>0</v>
      </c>
      <c r="T6" s="48">
        <v>11</v>
      </c>
      <c r="U6" s="48">
        <v>23</v>
      </c>
      <c r="V6" s="48">
        <v>6</v>
      </c>
      <c r="W6" s="49">
        <v>2.61157</v>
      </c>
      <c r="X6" s="49">
        <v>0.09090909090909091</v>
      </c>
      <c r="Y6" s="48">
        <v>26</v>
      </c>
      <c r="Z6" s="49">
        <v>3.1515151515151514</v>
      </c>
      <c r="AA6" s="48">
        <v>32</v>
      </c>
      <c r="AB6" s="49">
        <v>3.878787878787879</v>
      </c>
      <c r="AC6" s="48">
        <v>0</v>
      </c>
      <c r="AD6" s="49">
        <v>0</v>
      </c>
      <c r="AE6" s="48">
        <v>767</v>
      </c>
      <c r="AF6" s="49">
        <v>92.96969696969697</v>
      </c>
      <c r="AG6" s="48">
        <v>825</v>
      </c>
      <c r="AH6" s="89"/>
      <c r="AI6" s="89"/>
      <c r="AJ6" s="89"/>
      <c r="AK6" s="89" t="s">
        <v>1348</v>
      </c>
      <c r="AL6" s="112" t="s">
        <v>1353</v>
      </c>
      <c r="AM6" s="112" t="s">
        <v>1387</v>
      </c>
    </row>
    <row r="7" spans="1:39" ht="15">
      <c r="A7" s="129" t="s">
        <v>347</v>
      </c>
      <c r="B7" s="67" t="s">
        <v>356</v>
      </c>
      <c r="C7" s="67" t="s">
        <v>56</v>
      </c>
      <c r="D7" s="106"/>
      <c r="E7" s="105"/>
      <c r="F7" s="107" t="s">
        <v>1624</v>
      </c>
      <c r="G7" s="108"/>
      <c r="H7" s="108"/>
      <c r="I7" s="109">
        <v>7</v>
      </c>
      <c r="J7" s="110"/>
      <c r="K7" s="48">
        <v>11</v>
      </c>
      <c r="L7" s="48">
        <v>9</v>
      </c>
      <c r="M7" s="48">
        <v>2</v>
      </c>
      <c r="N7" s="48">
        <v>11</v>
      </c>
      <c r="O7" s="48">
        <v>0</v>
      </c>
      <c r="P7" s="49">
        <v>0</v>
      </c>
      <c r="Q7" s="49">
        <v>0</v>
      </c>
      <c r="R7" s="48">
        <v>1</v>
      </c>
      <c r="S7" s="48">
        <v>0</v>
      </c>
      <c r="T7" s="48">
        <v>11</v>
      </c>
      <c r="U7" s="48">
        <v>11</v>
      </c>
      <c r="V7" s="48">
        <v>2</v>
      </c>
      <c r="W7" s="49">
        <v>1.652893</v>
      </c>
      <c r="X7" s="49">
        <v>0.09090909090909091</v>
      </c>
      <c r="Y7" s="48">
        <v>8</v>
      </c>
      <c r="Z7" s="49">
        <v>3.3057851239669422</v>
      </c>
      <c r="AA7" s="48">
        <v>9</v>
      </c>
      <c r="AB7" s="49">
        <v>3.71900826446281</v>
      </c>
      <c r="AC7" s="48">
        <v>0</v>
      </c>
      <c r="AD7" s="49">
        <v>0</v>
      </c>
      <c r="AE7" s="48">
        <v>225</v>
      </c>
      <c r="AF7" s="49">
        <v>92.97520661157024</v>
      </c>
      <c r="AG7" s="48">
        <v>242</v>
      </c>
      <c r="AH7" s="89"/>
      <c r="AI7" s="89"/>
      <c r="AJ7" s="89"/>
      <c r="AK7" s="89" t="s">
        <v>1349</v>
      </c>
      <c r="AL7" s="112" t="s">
        <v>1354</v>
      </c>
      <c r="AM7" s="112" t="s">
        <v>1388</v>
      </c>
    </row>
    <row r="8" spans="1:39" ht="15">
      <c r="A8" s="129" t="s">
        <v>348</v>
      </c>
      <c r="B8" s="67" t="s">
        <v>357</v>
      </c>
      <c r="C8" s="67" t="s">
        <v>56</v>
      </c>
      <c r="D8" s="106"/>
      <c r="E8" s="105"/>
      <c r="F8" s="107" t="s">
        <v>1625</v>
      </c>
      <c r="G8" s="108"/>
      <c r="H8" s="108"/>
      <c r="I8" s="109">
        <v>8</v>
      </c>
      <c r="J8" s="110"/>
      <c r="K8" s="48">
        <v>10</v>
      </c>
      <c r="L8" s="48">
        <v>7</v>
      </c>
      <c r="M8" s="48">
        <v>17</v>
      </c>
      <c r="N8" s="48">
        <v>24</v>
      </c>
      <c r="O8" s="48">
        <v>4</v>
      </c>
      <c r="P8" s="49">
        <v>0</v>
      </c>
      <c r="Q8" s="49">
        <v>0</v>
      </c>
      <c r="R8" s="48">
        <v>1</v>
      </c>
      <c r="S8" s="48">
        <v>0</v>
      </c>
      <c r="T8" s="48">
        <v>10</v>
      </c>
      <c r="U8" s="48">
        <v>24</v>
      </c>
      <c r="V8" s="48">
        <v>5</v>
      </c>
      <c r="W8" s="49">
        <v>2.38</v>
      </c>
      <c r="X8" s="49">
        <v>0.1</v>
      </c>
      <c r="Y8" s="48">
        <v>16</v>
      </c>
      <c r="Z8" s="49">
        <v>2.5848142164781907</v>
      </c>
      <c r="AA8" s="48">
        <v>22</v>
      </c>
      <c r="AB8" s="49">
        <v>3.5541195476575123</v>
      </c>
      <c r="AC8" s="48">
        <v>0</v>
      </c>
      <c r="AD8" s="49">
        <v>0</v>
      </c>
      <c r="AE8" s="48">
        <v>581</v>
      </c>
      <c r="AF8" s="49">
        <v>93.8610662358643</v>
      </c>
      <c r="AG8" s="48">
        <v>619</v>
      </c>
      <c r="AH8" s="89"/>
      <c r="AI8" s="89"/>
      <c r="AJ8" s="89"/>
      <c r="AK8" s="89" t="s">
        <v>1349</v>
      </c>
      <c r="AL8" s="112" t="s">
        <v>1355</v>
      </c>
      <c r="AM8" s="112" t="s">
        <v>1389</v>
      </c>
    </row>
    <row r="9" spans="1:39" ht="15">
      <c r="A9" s="129" t="s">
        <v>349</v>
      </c>
      <c r="B9" s="67" t="s">
        <v>358</v>
      </c>
      <c r="C9" s="67" t="s">
        <v>56</v>
      </c>
      <c r="D9" s="106"/>
      <c r="E9" s="105"/>
      <c r="F9" s="107" t="s">
        <v>1626</v>
      </c>
      <c r="G9" s="108"/>
      <c r="H9" s="108"/>
      <c r="I9" s="109">
        <v>9</v>
      </c>
      <c r="J9" s="110"/>
      <c r="K9" s="48">
        <v>10</v>
      </c>
      <c r="L9" s="48">
        <v>7</v>
      </c>
      <c r="M9" s="48">
        <v>4</v>
      </c>
      <c r="N9" s="48">
        <v>11</v>
      </c>
      <c r="O9" s="48">
        <v>0</v>
      </c>
      <c r="P9" s="49">
        <v>0</v>
      </c>
      <c r="Q9" s="49">
        <v>0</v>
      </c>
      <c r="R9" s="48">
        <v>1</v>
      </c>
      <c r="S9" s="48">
        <v>0</v>
      </c>
      <c r="T9" s="48">
        <v>10</v>
      </c>
      <c r="U9" s="48">
        <v>11</v>
      </c>
      <c r="V9" s="48">
        <v>2</v>
      </c>
      <c r="W9" s="49">
        <v>1.62</v>
      </c>
      <c r="X9" s="49">
        <v>0.1</v>
      </c>
      <c r="Y9" s="48">
        <v>11</v>
      </c>
      <c r="Z9" s="49">
        <v>4.3478260869565215</v>
      </c>
      <c r="AA9" s="48">
        <v>17</v>
      </c>
      <c r="AB9" s="49">
        <v>6.719367588932807</v>
      </c>
      <c r="AC9" s="48">
        <v>0</v>
      </c>
      <c r="AD9" s="49">
        <v>0</v>
      </c>
      <c r="AE9" s="48">
        <v>225</v>
      </c>
      <c r="AF9" s="49">
        <v>88.93280632411067</v>
      </c>
      <c r="AG9" s="48">
        <v>253</v>
      </c>
      <c r="AH9" s="89"/>
      <c r="AI9" s="89"/>
      <c r="AJ9" s="89"/>
      <c r="AK9" s="89" t="s">
        <v>1349</v>
      </c>
      <c r="AL9" s="112" t="s">
        <v>1356</v>
      </c>
      <c r="AM9" s="112" t="s">
        <v>1390</v>
      </c>
    </row>
    <row r="10" spans="1:39" ht="14.25" customHeight="1">
      <c r="A10" s="129" t="s">
        <v>350</v>
      </c>
      <c r="B10" s="67" t="s">
        <v>359</v>
      </c>
      <c r="C10" s="67" t="s">
        <v>56</v>
      </c>
      <c r="D10" s="106"/>
      <c r="E10" s="105"/>
      <c r="F10" s="107" t="s">
        <v>1627</v>
      </c>
      <c r="G10" s="108"/>
      <c r="H10" s="108"/>
      <c r="I10" s="109">
        <v>10</v>
      </c>
      <c r="J10" s="110"/>
      <c r="K10" s="48">
        <v>7</v>
      </c>
      <c r="L10" s="48">
        <v>7</v>
      </c>
      <c r="M10" s="48">
        <v>0</v>
      </c>
      <c r="N10" s="48">
        <v>7</v>
      </c>
      <c r="O10" s="48">
        <v>0</v>
      </c>
      <c r="P10" s="49">
        <v>0</v>
      </c>
      <c r="Q10" s="49">
        <v>0</v>
      </c>
      <c r="R10" s="48">
        <v>1</v>
      </c>
      <c r="S10" s="48">
        <v>0</v>
      </c>
      <c r="T10" s="48">
        <v>7</v>
      </c>
      <c r="U10" s="48">
        <v>7</v>
      </c>
      <c r="V10" s="48">
        <v>3</v>
      </c>
      <c r="W10" s="49">
        <v>1.55102</v>
      </c>
      <c r="X10" s="49">
        <v>0.16666666666666666</v>
      </c>
      <c r="Y10" s="48">
        <v>7</v>
      </c>
      <c r="Z10" s="49">
        <v>3.0172413793103448</v>
      </c>
      <c r="AA10" s="48">
        <v>8</v>
      </c>
      <c r="AB10" s="49">
        <v>3.4482758620689653</v>
      </c>
      <c r="AC10" s="48">
        <v>0</v>
      </c>
      <c r="AD10" s="49">
        <v>0</v>
      </c>
      <c r="AE10" s="48">
        <v>217</v>
      </c>
      <c r="AF10" s="49">
        <v>93.53448275862068</v>
      </c>
      <c r="AG10" s="48">
        <v>232</v>
      </c>
      <c r="AH10" s="89"/>
      <c r="AI10" s="89"/>
      <c r="AJ10" s="89"/>
      <c r="AK10" s="89" t="s">
        <v>1348</v>
      </c>
      <c r="AL10" s="112" t="s">
        <v>1357</v>
      </c>
      <c r="AM10" s="112" t="s">
        <v>1382</v>
      </c>
    </row>
    <row r="11" spans="1:39" ht="15">
      <c r="A11" s="129" t="s">
        <v>351</v>
      </c>
      <c r="B11" s="67" t="s">
        <v>360</v>
      </c>
      <c r="C11" s="67" t="s">
        <v>56</v>
      </c>
      <c r="D11" s="106"/>
      <c r="E11" s="105"/>
      <c r="F11" s="107" t="s">
        <v>1628</v>
      </c>
      <c r="G11" s="108"/>
      <c r="H11" s="108"/>
      <c r="I11" s="109">
        <v>11</v>
      </c>
      <c r="J11" s="110"/>
      <c r="K11" s="48">
        <v>5</v>
      </c>
      <c r="L11" s="48">
        <v>4</v>
      </c>
      <c r="M11" s="48">
        <v>2</v>
      </c>
      <c r="N11" s="48">
        <v>6</v>
      </c>
      <c r="O11" s="48">
        <v>2</v>
      </c>
      <c r="P11" s="49">
        <v>0</v>
      </c>
      <c r="Q11" s="49">
        <v>0</v>
      </c>
      <c r="R11" s="48">
        <v>1</v>
      </c>
      <c r="S11" s="48">
        <v>0</v>
      </c>
      <c r="T11" s="48">
        <v>5</v>
      </c>
      <c r="U11" s="48">
        <v>6</v>
      </c>
      <c r="V11" s="48">
        <v>4</v>
      </c>
      <c r="W11" s="49">
        <v>1.6</v>
      </c>
      <c r="X11" s="49">
        <v>0.2</v>
      </c>
      <c r="Y11" s="48">
        <v>3</v>
      </c>
      <c r="Z11" s="49">
        <v>1.7857142857142858</v>
      </c>
      <c r="AA11" s="48">
        <v>3</v>
      </c>
      <c r="AB11" s="49">
        <v>1.7857142857142858</v>
      </c>
      <c r="AC11" s="48">
        <v>0</v>
      </c>
      <c r="AD11" s="49">
        <v>0</v>
      </c>
      <c r="AE11" s="48">
        <v>162</v>
      </c>
      <c r="AF11" s="49">
        <v>96.42857142857143</v>
      </c>
      <c r="AG11" s="48">
        <v>168</v>
      </c>
      <c r="AH11" s="89"/>
      <c r="AI11" s="89"/>
      <c r="AJ11" s="89"/>
      <c r="AK11" s="89" t="s">
        <v>1347</v>
      </c>
      <c r="AL11" s="112" t="s">
        <v>1358</v>
      </c>
      <c r="AM11" s="112" t="s">
        <v>1391</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343</v>
      </c>
      <c r="B2" s="112" t="s">
        <v>876</v>
      </c>
      <c r="C2" s="89">
        <f>VLOOKUP(GroupVertices[[#This Row],[Vertex]],Vertices[],MATCH("ID",Vertices[[#Headers],[Vertex]:[Top Word Pairs in Comment by Salience]],0),FALSE)</f>
        <v>6</v>
      </c>
    </row>
    <row r="3" spans="1:3" ht="15">
      <c r="A3" s="89" t="s">
        <v>343</v>
      </c>
      <c r="B3" s="112" t="s">
        <v>871</v>
      </c>
      <c r="C3" s="89">
        <f>VLOOKUP(GroupVertices[[#This Row],[Vertex]],Vertices[],MATCH("ID",Vertices[[#Headers],[Vertex]:[Top Word Pairs in Comment by Salience]],0),FALSE)</f>
        <v>110</v>
      </c>
    </row>
    <row r="4" spans="1:3" ht="15">
      <c r="A4" s="89" t="s">
        <v>343</v>
      </c>
      <c r="B4" s="112" t="s">
        <v>767</v>
      </c>
      <c r="C4" s="89">
        <f>VLOOKUP(GroupVertices[[#This Row],[Vertex]],Vertices[],MATCH("ID",Vertices[[#Headers],[Vertex]:[Top Word Pairs in Comment by Salience]],0),FALSE)</f>
        <v>5</v>
      </c>
    </row>
    <row r="5" spans="1:3" ht="15">
      <c r="A5" s="89" t="s">
        <v>343</v>
      </c>
      <c r="B5" s="112" t="s">
        <v>870</v>
      </c>
      <c r="C5" s="89">
        <f>VLOOKUP(GroupVertices[[#This Row],[Vertex]],Vertices[],MATCH("ID",Vertices[[#Headers],[Vertex]:[Top Word Pairs in Comment by Salience]],0),FALSE)</f>
        <v>109</v>
      </c>
    </row>
    <row r="6" spans="1:3" ht="15">
      <c r="A6" s="89" t="s">
        <v>343</v>
      </c>
      <c r="B6" s="112" t="s">
        <v>868</v>
      </c>
      <c r="C6" s="89">
        <f>VLOOKUP(GroupVertices[[#This Row],[Vertex]],Vertices[],MATCH("ID",Vertices[[#Headers],[Vertex]:[Top Word Pairs in Comment by Salience]],0),FALSE)</f>
        <v>108</v>
      </c>
    </row>
    <row r="7" spans="1:3" ht="15">
      <c r="A7" s="89" t="s">
        <v>343</v>
      </c>
      <c r="B7" s="112" t="s">
        <v>869</v>
      </c>
      <c r="C7" s="89">
        <f>VLOOKUP(GroupVertices[[#This Row],[Vertex]],Vertices[],MATCH("ID",Vertices[[#Headers],[Vertex]:[Top Word Pairs in Comment by Salience]],0),FALSE)</f>
        <v>107</v>
      </c>
    </row>
    <row r="8" spans="1:3" ht="15">
      <c r="A8" s="89" t="s">
        <v>343</v>
      </c>
      <c r="B8" s="112" t="s">
        <v>845</v>
      </c>
      <c r="C8" s="89">
        <f>VLOOKUP(GroupVertices[[#This Row],[Vertex]],Vertices[],MATCH("ID",Vertices[[#Headers],[Vertex]:[Top Word Pairs in Comment by Salience]],0),FALSE)</f>
        <v>85</v>
      </c>
    </row>
    <row r="9" spans="1:3" ht="15">
      <c r="A9" s="89" t="s">
        <v>343</v>
      </c>
      <c r="B9" s="112" t="s">
        <v>867</v>
      </c>
      <c r="C9" s="89">
        <f>VLOOKUP(GroupVertices[[#This Row],[Vertex]],Vertices[],MATCH("ID",Vertices[[#Headers],[Vertex]:[Top Word Pairs in Comment by Salience]],0),FALSE)</f>
        <v>106</v>
      </c>
    </row>
    <row r="10" spans="1:3" ht="15">
      <c r="A10" s="89" t="s">
        <v>343</v>
      </c>
      <c r="B10" s="112" t="s">
        <v>866</v>
      </c>
      <c r="C10" s="89">
        <f>VLOOKUP(GroupVertices[[#This Row],[Vertex]],Vertices[],MATCH("ID",Vertices[[#Headers],[Vertex]:[Top Word Pairs in Comment by Salience]],0),FALSE)</f>
        <v>105</v>
      </c>
    </row>
    <row r="11" spans="1:3" ht="15">
      <c r="A11" s="89" t="s">
        <v>343</v>
      </c>
      <c r="B11" s="112" t="s">
        <v>865</v>
      </c>
      <c r="C11" s="89">
        <f>VLOOKUP(GroupVertices[[#This Row],[Vertex]],Vertices[],MATCH("ID",Vertices[[#Headers],[Vertex]:[Top Word Pairs in Comment by Salience]],0),FALSE)</f>
        <v>104</v>
      </c>
    </row>
    <row r="12" spans="1:3" ht="15">
      <c r="A12" s="89" t="s">
        <v>343</v>
      </c>
      <c r="B12" s="112" t="s">
        <v>860</v>
      </c>
      <c r="C12" s="89">
        <f>VLOOKUP(GroupVertices[[#This Row],[Vertex]],Vertices[],MATCH("ID",Vertices[[#Headers],[Vertex]:[Top Word Pairs in Comment by Salience]],0),FALSE)</f>
        <v>99</v>
      </c>
    </row>
    <row r="13" spans="1:3" ht="15">
      <c r="A13" s="89" t="s">
        <v>343</v>
      </c>
      <c r="B13" s="112" t="s">
        <v>859</v>
      </c>
      <c r="C13" s="89">
        <f>VLOOKUP(GroupVertices[[#This Row],[Vertex]],Vertices[],MATCH("ID",Vertices[[#Headers],[Vertex]:[Top Word Pairs in Comment by Salience]],0),FALSE)</f>
        <v>98</v>
      </c>
    </row>
    <row r="14" spans="1:3" ht="15">
      <c r="A14" s="89" t="s">
        <v>343</v>
      </c>
      <c r="B14" s="112" t="s">
        <v>857</v>
      </c>
      <c r="C14" s="89">
        <f>VLOOKUP(GroupVertices[[#This Row],[Vertex]],Vertices[],MATCH("ID",Vertices[[#Headers],[Vertex]:[Top Word Pairs in Comment by Salience]],0),FALSE)</f>
        <v>96</v>
      </c>
    </row>
    <row r="15" spans="1:3" ht="15">
      <c r="A15" s="89" t="s">
        <v>343</v>
      </c>
      <c r="B15" s="112" t="s">
        <v>856</v>
      </c>
      <c r="C15" s="89">
        <f>VLOOKUP(GroupVertices[[#This Row],[Vertex]],Vertices[],MATCH("ID",Vertices[[#Headers],[Vertex]:[Top Word Pairs in Comment by Salience]],0),FALSE)</f>
        <v>95</v>
      </c>
    </row>
    <row r="16" spans="1:3" ht="15">
      <c r="A16" s="89" t="s">
        <v>343</v>
      </c>
      <c r="B16" s="112" t="s">
        <v>852</v>
      </c>
      <c r="C16" s="89">
        <f>VLOOKUP(GroupVertices[[#This Row],[Vertex]],Vertices[],MATCH("ID",Vertices[[#Headers],[Vertex]:[Top Word Pairs in Comment by Salience]],0),FALSE)</f>
        <v>91</v>
      </c>
    </row>
    <row r="17" spans="1:3" ht="15">
      <c r="A17" s="89" t="s">
        <v>343</v>
      </c>
      <c r="B17" s="112" t="s">
        <v>795</v>
      </c>
      <c r="C17" s="89">
        <f>VLOOKUP(GroupVertices[[#This Row],[Vertex]],Vertices[],MATCH("ID",Vertices[[#Headers],[Vertex]:[Top Word Pairs in Comment by Salience]],0),FALSE)</f>
        <v>35</v>
      </c>
    </row>
    <row r="18" spans="1:3" ht="15">
      <c r="A18" s="89" t="s">
        <v>343</v>
      </c>
      <c r="B18" s="112" t="s">
        <v>837</v>
      </c>
      <c r="C18" s="89">
        <f>VLOOKUP(GroupVertices[[#This Row],[Vertex]],Vertices[],MATCH("ID",Vertices[[#Headers],[Vertex]:[Top Word Pairs in Comment by Salience]],0),FALSE)</f>
        <v>76</v>
      </c>
    </row>
    <row r="19" spans="1:3" ht="15">
      <c r="A19" s="89" t="s">
        <v>343</v>
      </c>
      <c r="B19" s="112" t="s">
        <v>836</v>
      </c>
      <c r="C19" s="89">
        <f>VLOOKUP(GroupVertices[[#This Row],[Vertex]],Vertices[],MATCH("ID",Vertices[[#Headers],[Vertex]:[Top Word Pairs in Comment by Salience]],0),FALSE)</f>
        <v>75</v>
      </c>
    </row>
    <row r="20" spans="1:3" ht="15">
      <c r="A20" s="89" t="s">
        <v>343</v>
      </c>
      <c r="B20" s="112" t="s">
        <v>810</v>
      </c>
      <c r="C20" s="89">
        <f>VLOOKUP(GroupVertices[[#This Row],[Vertex]],Vertices[],MATCH("ID",Vertices[[#Headers],[Vertex]:[Top Word Pairs in Comment by Salience]],0),FALSE)</f>
        <v>49</v>
      </c>
    </row>
    <row r="21" spans="1:3" ht="15">
      <c r="A21" s="89" t="s">
        <v>343</v>
      </c>
      <c r="B21" s="112" t="s">
        <v>809</v>
      </c>
      <c r="C21" s="89">
        <f>VLOOKUP(GroupVertices[[#This Row],[Vertex]],Vertices[],MATCH("ID",Vertices[[#Headers],[Vertex]:[Top Word Pairs in Comment by Salience]],0),FALSE)</f>
        <v>48</v>
      </c>
    </row>
    <row r="22" spans="1:3" ht="15">
      <c r="A22" s="89" t="s">
        <v>343</v>
      </c>
      <c r="B22" s="112" t="s">
        <v>804</v>
      </c>
      <c r="C22" s="89">
        <f>VLOOKUP(GroupVertices[[#This Row],[Vertex]],Vertices[],MATCH("ID",Vertices[[#Headers],[Vertex]:[Top Word Pairs in Comment by Salience]],0),FALSE)</f>
        <v>43</v>
      </c>
    </row>
    <row r="23" spans="1:3" ht="15">
      <c r="A23" s="89" t="s">
        <v>343</v>
      </c>
      <c r="B23" s="112" t="s">
        <v>803</v>
      </c>
      <c r="C23" s="89">
        <f>VLOOKUP(GroupVertices[[#This Row],[Vertex]],Vertices[],MATCH("ID",Vertices[[#Headers],[Vertex]:[Top Word Pairs in Comment by Salience]],0),FALSE)</f>
        <v>42</v>
      </c>
    </row>
    <row r="24" spans="1:3" ht="15">
      <c r="A24" s="89" t="s">
        <v>343</v>
      </c>
      <c r="B24" s="112" t="s">
        <v>796</v>
      </c>
      <c r="C24" s="89">
        <f>VLOOKUP(GroupVertices[[#This Row],[Vertex]],Vertices[],MATCH("ID",Vertices[[#Headers],[Vertex]:[Top Word Pairs in Comment by Salience]],0),FALSE)</f>
        <v>34</v>
      </c>
    </row>
    <row r="25" spans="1:3" ht="15">
      <c r="A25" s="89" t="s">
        <v>343</v>
      </c>
      <c r="B25" s="112" t="s">
        <v>794</v>
      </c>
      <c r="C25" s="89">
        <f>VLOOKUP(GroupVertices[[#This Row],[Vertex]],Vertices[],MATCH("ID",Vertices[[#Headers],[Vertex]:[Top Word Pairs in Comment by Salience]],0),FALSE)</f>
        <v>33</v>
      </c>
    </row>
    <row r="26" spans="1:3" ht="15">
      <c r="A26" s="89" t="s">
        <v>343</v>
      </c>
      <c r="B26" s="112" t="s">
        <v>793</v>
      </c>
      <c r="C26" s="89">
        <f>VLOOKUP(GroupVertices[[#This Row],[Vertex]],Vertices[],MATCH("ID",Vertices[[#Headers],[Vertex]:[Top Word Pairs in Comment by Salience]],0),FALSE)</f>
        <v>32</v>
      </c>
    </row>
    <row r="27" spans="1:3" ht="15">
      <c r="A27" s="89" t="s">
        <v>343</v>
      </c>
      <c r="B27" s="112" t="s">
        <v>792</v>
      </c>
      <c r="C27" s="89">
        <f>VLOOKUP(GroupVertices[[#This Row],[Vertex]],Vertices[],MATCH("ID",Vertices[[#Headers],[Vertex]:[Top Word Pairs in Comment by Salience]],0),FALSE)</f>
        <v>31</v>
      </c>
    </row>
    <row r="28" spans="1:3" ht="15">
      <c r="A28" s="89" t="s">
        <v>343</v>
      </c>
      <c r="B28" s="112" t="s">
        <v>766</v>
      </c>
      <c r="C28" s="89">
        <f>VLOOKUP(GroupVertices[[#This Row],[Vertex]],Vertices[],MATCH("ID",Vertices[[#Headers],[Vertex]:[Top Word Pairs in Comment by Salience]],0),FALSE)</f>
        <v>4</v>
      </c>
    </row>
    <row r="29" spans="1:3" ht="15">
      <c r="A29" s="89" t="s">
        <v>343</v>
      </c>
      <c r="B29" s="112" t="s">
        <v>875</v>
      </c>
      <c r="C29" s="89">
        <f>VLOOKUP(GroupVertices[[#This Row],[Vertex]],Vertices[],MATCH("ID",Vertices[[#Headers],[Vertex]:[Top Word Pairs in Comment by Salience]],0),FALSE)</f>
        <v>3</v>
      </c>
    </row>
    <row r="30" spans="1:3" ht="15">
      <c r="A30" s="89" t="s">
        <v>344</v>
      </c>
      <c r="B30" s="112" t="s">
        <v>861</v>
      </c>
      <c r="C30" s="89">
        <f>VLOOKUP(GroupVertices[[#This Row],[Vertex]],Vertices[],MATCH("ID",Vertices[[#Headers],[Vertex]:[Top Word Pairs in Comment by Salience]],0),FALSE)</f>
        <v>101</v>
      </c>
    </row>
    <row r="31" spans="1:3" ht="15">
      <c r="A31" s="89" t="s">
        <v>344</v>
      </c>
      <c r="B31" s="112" t="s">
        <v>862</v>
      </c>
      <c r="C31" s="89">
        <f>VLOOKUP(GroupVertices[[#This Row],[Vertex]],Vertices[],MATCH("ID",Vertices[[#Headers],[Vertex]:[Top Word Pairs in Comment by Salience]],0),FALSE)</f>
        <v>100</v>
      </c>
    </row>
    <row r="32" spans="1:3" ht="15">
      <c r="A32" s="89" t="s">
        <v>344</v>
      </c>
      <c r="B32" s="112" t="s">
        <v>815</v>
      </c>
      <c r="C32" s="89">
        <f>VLOOKUP(GroupVertices[[#This Row],[Vertex]],Vertices[],MATCH("ID",Vertices[[#Headers],[Vertex]:[Top Word Pairs in Comment by Salience]],0),FALSE)</f>
        <v>54</v>
      </c>
    </row>
    <row r="33" spans="1:3" ht="15">
      <c r="A33" s="89" t="s">
        <v>344</v>
      </c>
      <c r="B33" s="112" t="s">
        <v>832</v>
      </c>
      <c r="C33" s="89">
        <f>VLOOKUP(GroupVertices[[#This Row],[Vertex]],Vertices[],MATCH("ID",Vertices[[#Headers],[Vertex]:[Top Word Pairs in Comment by Salience]],0),FALSE)</f>
        <v>72</v>
      </c>
    </row>
    <row r="34" spans="1:3" ht="15">
      <c r="A34" s="89" t="s">
        <v>344</v>
      </c>
      <c r="B34" s="112" t="s">
        <v>851</v>
      </c>
      <c r="C34" s="89">
        <f>VLOOKUP(GroupVertices[[#This Row],[Vertex]],Vertices[],MATCH("ID",Vertices[[#Headers],[Vertex]:[Top Word Pairs in Comment by Salience]],0),FALSE)</f>
        <v>90</v>
      </c>
    </row>
    <row r="35" spans="1:3" ht="15">
      <c r="A35" s="89" t="s">
        <v>344</v>
      </c>
      <c r="B35" s="112" t="s">
        <v>846</v>
      </c>
      <c r="C35" s="89">
        <f>VLOOKUP(GroupVertices[[#This Row],[Vertex]],Vertices[],MATCH("ID",Vertices[[#Headers],[Vertex]:[Top Word Pairs in Comment by Salience]],0),FALSE)</f>
        <v>82</v>
      </c>
    </row>
    <row r="36" spans="1:3" ht="15">
      <c r="A36" s="89" t="s">
        <v>344</v>
      </c>
      <c r="B36" s="112" t="s">
        <v>844</v>
      </c>
      <c r="C36" s="89">
        <f>VLOOKUP(GroupVertices[[#This Row],[Vertex]],Vertices[],MATCH("ID",Vertices[[#Headers],[Vertex]:[Top Word Pairs in Comment by Salience]],0),FALSE)</f>
        <v>84</v>
      </c>
    </row>
    <row r="37" spans="1:3" ht="15">
      <c r="A37" s="89" t="s">
        <v>344</v>
      </c>
      <c r="B37" s="112" t="s">
        <v>843</v>
      </c>
      <c r="C37" s="89">
        <f>VLOOKUP(GroupVertices[[#This Row],[Vertex]],Vertices[],MATCH("ID",Vertices[[#Headers],[Vertex]:[Top Word Pairs in Comment by Salience]],0),FALSE)</f>
        <v>83</v>
      </c>
    </row>
    <row r="38" spans="1:3" ht="15">
      <c r="A38" s="89" t="s">
        <v>344</v>
      </c>
      <c r="B38" s="112" t="s">
        <v>828</v>
      </c>
      <c r="C38" s="89">
        <f>VLOOKUP(GroupVertices[[#This Row],[Vertex]],Vertices[],MATCH("ID",Vertices[[#Headers],[Vertex]:[Top Word Pairs in Comment by Salience]],0),FALSE)</f>
        <v>68</v>
      </c>
    </row>
    <row r="39" spans="1:3" ht="15">
      <c r="A39" s="89" t="s">
        <v>344</v>
      </c>
      <c r="B39" s="112" t="s">
        <v>813</v>
      </c>
      <c r="C39" s="89">
        <f>VLOOKUP(GroupVertices[[#This Row],[Vertex]],Vertices[],MATCH("ID",Vertices[[#Headers],[Vertex]:[Top Word Pairs in Comment by Salience]],0),FALSE)</f>
        <v>53</v>
      </c>
    </row>
    <row r="40" spans="1:3" ht="15">
      <c r="A40" s="89" t="s">
        <v>344</v>
      </c>
      <c r="B40" s="112" t="s">
        <v>829</v>
      </c>
      <c r="C40" s="89">
        <f>VLOOKUP(GroupVertices[[#This Row],[Vertex]],Vertices[],MATCH("ID",Vertices[[#Headers],[Vertex]:[Top Word Pairs in Comment by Salience]],0),FALSE)</f>
        <v>66</v>
      </c>
    </row>
    <row r="41" spans="1:3" ht="15">
      <c r="A41" s="89" t="s">
        <v>344</v>
      </c>
      <c r="B41" s="112" t="s">
        <v>826</v>
      </c>
      <c r="C41" s="89">
        <f>VLOOKUP(GroupVertices[[#This Row],[Vertex]],Vertices[],MATCH("ID",Vertices[[#Headers],[Vertex]:[Top Word Pairs in Comment by Salience]],0),FALSE)</f>
        <v>65</v>
      </c>
    </row>
    <row r="42" spans="1:3" ht="15">
      <c r="A42" s="89" t="s">
        <v>344</v>
      </c>
      <c r="B42" s="112" t="s">
        <v>817</v>
      </c>
      <c r="C42" s="89">
        <f>VLOOKUP(GroupVertices[[#This Row],[Vertex]],Vertices[],MATCH("ID",Vertices[[#Headers],[Vertex]:[Top Word Pairs in Comment by Salience]],0),FALSE)</f>
        <v>56</v>
      </c>
    </row>
    <row r="43" spans="1:3" ht="15">
      <c r="A43" s="89" t="s">
        <v>344</v>
      </c>
      <c r="B43" s="112" t="s">
        <v>814</v>
      </c>
      <c r="C43" s="89">
        <f>VLOOKUP(GroupVertices[[#This Row],[Vertex]],Vertices[],MATCH("ID",Vertices[[#Headers],[Vertex]:[Top Word Pairs in Comment by Salience]],0),FALSE)</f>
        <v>51</v>
      </c>
    </row>
    <row r="44" spans="1:3" ht="15">
      <c r="A44" s="89" t="s">
        <v>344</v>
      </c>
      <c r="B44" s="112" t="s">
        <v>812</v>
      </c>
      <c r="C44" s="89">
        <f>VLOOKUP(GroupVertices[[#This Row],[Vertex]],Vertices[],MATCH("ID",Vertices[[#Headers],[Vertex]:[Top Word Pairs in Comment by Salience]],0),FALSE)</f>
        <v>52</v>
      </c>
    </row>
    <row r="45" spans="1:3" ht="15">
      <c r="A45" s="89" t="s">
        <v>344</v>
      </c>
      <c r="B45" s="112" t="s">
        <v>811</v>
      </c>
      <c r="C45" s="89">
        <f>VLOOKUP(GroupVertices[[#This Row],[Vertex]],Vertices[],MATCH("ID",Vertices[[#Headers],[Vertex]:[Top Word Pairs in Comment by Salience]],0),FALSE)</f>
        <v>50</v>
      </c>
    </row>
    <row r="46" spans="1:3" ht="15">
      <c r="A46" s="89" t="s">
        <v>345</v>
      </c>
      <c r="B46" s="112" t="s">
        <v>855</v>
      </c>
      <c r="C46" s="89">
        <f>VLOOKUP(GroupVertices[[#This Row],[Vertex]],Vertices[],MATCH("ID",Vertices[[#Headers],[Vertex]:[Top Word Pairs in Comment by Salience]],0),FALSE)</f>
        <v>94</v>
      </c>
    </row>
    <row r="47" spans="1:3" ht="15">
      <c r="A47" s="89" t="s">
        <v>345</v>
      </c>
      <c r="B47" s="112" t="s">
        <v>778</v>
      </c>
      <c r="C47" s="89">
        <f>VLOOKUP(GroupVertices[[#This Row],[Vertex]],Vertices[],MATCH("ID",Vertices[[#Headers],[Vertex]:[Top Word Pairs in Comment by Salience]],0),FALSE)</f>
        <v>18</v>
      </c>
    </row>
    <row r="48" spans="1:3" ht="15">
      <c r="A48" s="89" t="s">
        <v>345</v>
      </c>
      <c r="B48" s="112" t="s">
        <v>854</v>
      </c>
      <c r="C48" s="89">
        <f>VLOOKUP(GroupVertices[[#This Row],[Vertex]],Vertices[],MATCH("ID",Vertices[[#Headers],[Vertex]:[Top Word Pairs in Comment by Salience]],0),FALSE)</f>
        <v>93</v>
      </c>
    </row>
    <row r="49" spans="1:3" ht="15">
      <c r="A49" s="89" t="s">
        <v>345</v>
      </c>
      <c r="B49" s="112" t="s">
        <v>849</v>
      </c>
      <c r="C49" s="89">
        <f>VLOOKUP(GroupVertices[[#This Row],[Vertex]],Vertices[],MATCH("ID",Vertices[[#Headers],[Vertex]:[Top Word Pairs in Comment by Salience]],0),FALSE)</f>
        <v>89</v>
      </c>
    </row>
    <row r="50" spans="1:3" ht="15">
      <c r="A50" s="89" t="s">
        <v>345</v>
      </c>
      <c r="B50" s="112" t="s">
        <v>850</v>
      </c>
      <c r="C50" s="89">
        <f>VLOOKUP(GroupVertices[[#This Row],[Vertex]],Vertices[],MATCH("ID",Vertices[[#Headers],[Vertex]:[Top Word Pairs in Comment by Salience]],0),FALSE)</f>
        <v>87</v>
      </c>
    </row>
    <row r="51" spans="1:3" ht="15">
      <c r="A51" s="89" t="s">
        <v>345</v>
      </c>
      <c r="B51" s="112" t="s">
        <v>848</v>
      </c>
      <c r="C51" s="89">
        <f>VLOOKUP(GroupVertices[[#This Row],[Vertex]],Vertices[],MATCH("ID",Vertices[[#Headers],[Vertex]:[Top Word Pairs in Comment by Salience]],0),FALSE)</f>
        <v>88</v>
      </c>
    </row>
    <row r="52" spans="1:3" ht="15">
      <c r="A52" s="89" t="s">
        <v>345</v>
      </c>
      <c r="B52" s="112" t="s">
        <v>847</v>
      </c>
      <c r="C52" s="89">
        <f>VLOOKUP(GroupVertices[[#This Row],[Vertex]],Vertices[],MATCH("ID",Vertices[[#Headers],[Vertex]:[Top Word Pairs in Comment by Salience]],0),FALSE)</f>
        <v>86</v>
      </c>
    </row>
    <row r="53" spans="1:3" ht="15">
      <c r="A53" s="89" t="s">
        <v>345</v>
      </c>
      <c r="B53" s="112" t="s">
        <v>842</v>
      </c>
      <c r="C53" s="89">
        <f>VLOOKUP(GroupVertices[[#This Row],[Vertex]],Vertices[],MATCH("ID",Vertices[[#Headers],[Vertex]:[Top Word Pairs in Comment by Salience]],0),FALSE)</f>
        <v>81</v>
      </c>
    </row>
    <row r="54" spans="1:3" ht="15">
      <c r="A54" s="89" t="s">
        <v>345</v>
      </c>
      <c r="B54" s="112" t="s">
        <v>807</v>
      </c>
      <c r="C54" s="89">
        <f>VLOOKUP(GroupVertices[[#This Row],[Vertex]],Vertices[],MATCH("ID",Vertices[[#Headers],[Vertex]:[Top Word Pairs in Comment by Salience]],0),FALSE)</f>
        <v>47</v>
      </c>
    </row>
    <row r="55" spans="1:3" ht="15">
      <c r="A55" s="89" t="s">
        <v>345</v>
      </c>
      <c r="B55" s="112" t="s">
        <v>808</v>
      </c>
      <c r="C55" s="89">
        <f>VLOOKUP(GroupVertices[[#This Row],[Vertex]],Vertices[],MATCH("ID",Vertices[[#Headers],[Vertex]:[Top Word Pairs in Comment by Salience]],0),FALSE)</f>
        <v>45</v>
      </c>
    </row>
    <row r="56" spans="1:3" ht="15">
      <c r="A56" s="89" t="s">
        <v>345</v>
      </c>
      <c r="B56" s="112" t="s">
        <v>806</v>
      </c>
      <c r="C56" s="89">
        <f>VLOOKUP(GroupVertices[[#This Row],[Vertex]],Vertices[],MATCH("ID",Vertices[[#Headers],[Vertex]:[Top Word Pairs in Comment by Salience]],0),FALSE)</f>
        <v>46</v>
      </c>
    </row>
    <row r="57" spans="1:3" ht="15">
      <c r="A57" s="89" t="s">
        <v>345</v>
      </c>
      <c r="B57" s="112" t="s">
        <v>777</v>
      </c>
      <c r="C57" s="89">
        <f>VLOOKUP(GroupVertices[[#This Row],[Vertex]],Vertices[],MATCH("ID",Vertices[[#Headers],[Vertex]:[Top Word Pairs in Comment by Salience]],0),FALSE)</f>
        <v>17</v>
      </c>
    </row>
    <row r="58" spans="1:3" ht="15">
      <c r="A58" s="89" t="s">
        <v>345</v>
      </c>
      <c r="B58" s="112" t="s">
        <v>805</v>
      </c>
      <c r="C58" s="89">
        <f>VLOOKUP(GroupVertices[[#This Row],[Vertex]],Vertices[],MATCH("ID",Vertices[[#Headers],[Vertex]:[Top Word Pairs in Comment by Salience]],0),FALSE)</f>
        <v>44</v>
      </c>
    </row>
    <row r="59" spans="1:3" ht="15">
      <c r="A59" s="89" t="s">
        <v>346</v>
      </c>
      <c r="B59" s="112" t="s">
        <v>863</v>
      </c>
      <c r="C59" s="89">
        <f>VLOOKUP(GroupVertices[[#This Row],[Vertex]],Vertices[],MATCH("ID",Vertices[[#Headers],[Vertex]:[Top Word Pairs in Comment by Salience]],0),FALSE)</f>
        <v>103</v>
      </c>
    </row>
    <row r="60" spans="1:3" ht="15">
      <c r="A60" s="89" t="s">
        <v>346</v>
      </c>
      <c r="B60" s="112" t="s">
        <v>864</v>
      </c>
      <c r="C60" s="89">
        <f>VLOOKUP(GroupVertices[[#This Row],[Vertex]],Vertices[],MATCH("ID",Vertices[[#Headers],[Vertex]:[Top Word Pairs in Comment by Salience]],0),FALSE)</f>
        <v>102</v>
      </c>
    </row>
    <row r="61" spans="1:3" ht="15">
      <c r="A61" s="89" t="s">
        <v>346</v>
      </c>
      <c r="B61" s="112" t="s">
        <v>833</v>
      </c>
      <c r="C61" s="89">
        <f>VLOOKUP(GroupVertices[[#This Row],[Vertex]],Vertices[],MATCH("ID",Vertices[[#Headers],[Vertex]:[Top Word Pairs in Comment by Salience]],0),FALSE)</f>
        <v>73</v>
      </c>
    </row>
    <row r="62" spans="1:3" ht="15">
      <c r="A62" s="89" t="s">
        <v>346</v>
      </c>
      <c r="B62" s="112" t="s">
        <v>841</v>
      </c>
      <c r="C62" s="89">
        <f>VLOOKUP(GroupVertices[[#This Row],[Vertex]],Vertices[],MATCH("ID",Vertices[[#Headers],[Vertex]:[Top Word Pairs in Comment by Salience]],0),FALSE)</f>
        <v>80</v>
      </c>
    </row>
    <row r="63" spans="1:3" ht="15">
      <c r="A63" s="89" t="s">
        <v>346</v>
      </c>
      <c r="B63" s="112" t="s">
        <v>840</v>
      </c>
      <c r="C63" s="89">
        <f>VLOOKUP(GroupVertices[[#This Row],[Vertex]],Vertices[],MATCH("ID",Vertices[[#Headers],[Vertex]:[Top Word Pairs in Comment by Salience]],0),FALSE)</f>
        <v>79</v>
      </c>
    </row>
    <row r="64" spans="1:3" ht="15">
      <c r="A64" s="89" t="s">
        <v>346</v>
      </c>
      <c r="B64" s="112" t="s">
        <v>835</v>
      </c>
      <c r="C64" s="89">
        <f>VLOOKUP(GroupVertices[[#This Row],[Vertex]],Vertices[],MATCH("ID",Vertices[[#Headers],[Vertex]:[Top Word Pairs in Comment by Salience]],0),FALSE)</f>
        <v>74</v>
      </c>
    </row>
    <row r="65" spans="1:3" ht="15">
      <c r="A65" s="89" t="s">
        <v>346</v>
      </c>
      <c r="B65" s="112" t="s">
        <v>818</v>
      </c>
      <c r="C65" s="89">
        <f>VLOOKUP(GroupVertices[[#This Row],[Vertex]],Vertices[],MATCH("ID",Vertices[[#Headers],[Vertex]:[Top Word Pairs in Comment by Salience]],0),FALSE)</f>
        <v>58</v>
      </c>
    </row>
    <row r="66" spans="1:3" ht="15">
      <c r="A66" s="89" t="s">
        <v>346</v>
      </c>
      <c r="B66" s="112" t="s">
        <v>834</v>
      </c>
      <c r="C66" s="89">
        <f>VLOOKUP(GroupVertices[[#This Row],[Vertex]],Vertices[],MATCH("ID",Vertices[[#Headers],[Vertex]:[Top Word Pairs in Comment by Salience]],0),FALSE)</f>
        <v>70</v>
      </c>
    </row>
    <row r="67" spans="1:3" ht="15">
      <c r="A67" s="89" t="s">
        <v>346</v>
      </c>
      <c r="B67" s="112" t="s">
        <v>831</v>
      </c>
      <c r="C67" s="89">
        <f>VLOOKUP(GroupVertices[[#This Row],[Vertex]],Vertices[],MATCH("ID",Vertices[[#Headers],[Vertex]:[Top Word Pairs in Comment by Salience]],0),FALSE)</f>
        <v>71</v>
      </c>
    </row>
    <row r="68" spans="1:3" ht="15">
      <c r="A68" s="89" t="s">
        <v>346</v>
      </c>
      <c r="B68" s="112" t="s">
        <v>830</v>
      </c>
      <c r="C68" s="89">
        <f>VLOOKUP(GroupVertices[[#This Row],[Vertex]],Vertices[],MATCH("ID",Vertices[[#Headers],[Vertex]:[Top Word Pairs in Comment by Salience]],0),FALSE)</f>
        <v>69</v>
      </c>
    </row>
    <row r="69" spans="1:3" ht="15">
      <c r="A69" s="89" t="s">
        <v>346</v>
      </c>
      <c r="B69" s="112" t="s">
        <v>819</v>
      </c>
      <c r="C69" s="89">
        <f>VLOOKUP(GroupVertices[[#This Row],[Vertex]],Vertices[],MATCH("ID",Vertices[[#Headers],[Vertex]:[Top Word Pairs in Comment by Salience]],0),FALSE)</f>
        <v>57</v>
      </c>
    </row>
    <row r="70" spans="1:3" ht="15">
      <c r="A70" s="89" t="s">
        <v>347</v>
      </c>
      <c r="B70" s="112" t="s">
        <v>790</v>
      </c>
      <c r="C70" s="89">
        <f>VLOOKUP(GroupVertices[[#This Row],[Vertex]],Vertices[],MATCH("ID",Vertices[[#Headers],[Vertex]:[Top Word Pairs in Comment by Salience]],0),FALSE)</f>
        <v>30</v>
      </c>
    </row>
    <row r="71" spans="1:3" ht="15">
      <c r="A71" s="89" t="s">
        <v>347</v>
      </c>
      <c r="B71" s="112" t="s">
        <v>791</v>
      </c>
      <c r="C71" s="89">
        <f>VLOOKUP(GroupVertices[[#This Row],[Vertex]],Vertices[],MATCH("ID",Vertices[[#Headers],[Vertex]:[Top Word Pairs in Comment by Salience]],0),FALSE)</f>
        <v>21</v>
      </c>
    </row>
    <row r="72" spans="1:3" ht="15">
      <c r="A72" s="89" t="s">
        <v>347</v>
      </c>
      <c r="B72" s="112" t="s">
        <v>789</v>
      </c>
      <c r="C72" s="89">
        <f>VLOOKUP(GroupVertices[[#This Row],[Vertex]],Vertices[],MATCH("ID",Vertices[[#Headers],[Vertex]:[Top Word Pairs in Comment by Salience]],0),FALSE)</f>
        <v>29</v>
      </c>
    </row>
    <row r="73" spans="1:3" ht="15">
      <c r="A73" s="89" t="s">
        <v>347</v>
      </c>
      <c r="B73" s="112" t="s">
        <v>788</v>
      </c>
      <c r="C73" s="89">
        <f>VLOOKUP(GroupVertices[[#This Row],[Vertex]],Vertices[],MATCH("ID",Vertices[[#Headers],[Vertex]:[Top Word Pairs in Comment by Salience]],0),FALSE)</f>
        <v>28</v>
      </c>
    </row>
    <row r="74" spans="1:3" ht="15">
      <c r="A74" s="89" t="s">
        <v>347</v>
      </c>
      <c r="B74" s="112" t="s">
        <v>787</v>
      </c>
      <c r="C74" s="89">
        <f>VLOOKUP(GroupVertices[[#This Row],[Vertex]],Vertices[],MATCH("ID",Vertices[[#Headers],[Vertex]:[Top Word Pairs in Comment by Salience]],0),FALSE)</f>
        <v>27</v>
      </c>
    </row>
    <row r="75" spans="1:3" ht="15">
      <c r="A75" s="89" t="s">
        <v>347</v>
      </c>
      <c r="B75" s="112" t="s">
        <v>786</v>
      </c>
      <c r="C75" s="89">
        <f>VLOOKUP(GroupVertices[[#This Row],[Vertex]],Vertices[],MATCH("ID",Vertices[[#Headers],[Vertex]:[Top Word Pairs in Comment by Salience]],0),FALSE)</f>
        <v>26</v>
      </c>
    </row>
    <row r="76" spans="1:3" ht="15">
      <c r="A76" s="89" t="s">
        <v>347</v>
      </c>
      <c r="B76" s="112" t="s">
        <v>785</v>
      </c>
      <c r="C76" s="89">
        <f>VLOOKUP(GroupVertices[[#This Row],[Vertex]],Vertices[],MATCH("ID",Vertices[[#Headers],[Vertex]:[Top Word Pairs in Comment by Salience]],0),FALSE)</f>
        <v>25</v>
      </c>
    </row>
    <row r="77" spans="1:3" ht="15">
      <c r="A77" s="89" t="s">
        <v>347</v>
      </c>
      <c r="B77" s="112" t="s">
        <v>784</v>
      </c>
      <c r="C77" s="89">
        <f>VLOOKUP(GroupVertices[[#This Row],[Vertex]],Vertices[],MATCH("ID",Vertices[[#Headers],[Vertex]:[Top Word Pairs in Comment by Salience]],0),FALSE)</f>
        <v>24</v>
      </c>
    </row>
    <row r="78" spans="1:3" ht="15">
      <c r="A78" s="89" t="s">
        <v>347</v>
      </c>
      <c r="B78" s="112" t="s">
        <v>783</v>
      </c>
      <c r="C78" s="89">
        <f>VLOOKUP(GroupVertices[[#This Row],[Vertex]],Vertices[],MATCH("ID",Vertices[[#Headers],[Vertex]:[Top Word Pairs in Comment by Salience]],0),FALSE)</f>
        <v>23</v>
      </c>
    </row>
    <row r="79" spans="1:3" ht="15">
      <c r="A79" s="89" t="s">
        <v>347</v>
      </c>
      <c r="B79" s="112" t="s">
        <v>782</v>
      </c>
      <c r="C79" s="89">
        <f>VLOOKUP(GroupVertices[[#This Row],[Vertex]],Vertices[],MATCH("ID",Vertices[[#Headers],[Vertex]:[Top Word Pairs in Comment by Salience]],0),FALSE)</f>
        <v>22</v>
      </c>
    </row>
    <row r="80" spans="1:3" ht="15">
      <c r="A80" s="89" t="s">
        <v>347</v>
      </c>
      <c r="B80" s="112" t="s">
        <v>781</v>
      </c>
      <c r="C80" s="89">
        <f>VLOOKUP(GroupVertices[[#This Row],[Vertex]],Vertices[],MATCH("ID",Vertices[[#Headers],[Vertex]:[Top Word Pairs in Comment by Salience]],0),FALSE)</f>
        <v>20</v>
      </c>
    </row>
    <row r="81" spans="1:3" ht="15">
      <c r="A81" s="89" t="s">
        <v>348</v>
      </c>
      <c r="B81" s="112" t="s">
        <v>858</v>
      </c>
      <c r="C81" s="89">
        <f>VLOOKUP(GroupVertices[[#This Row],[Vertex]],Vertices[],MATCH("ID",Vertices[[#Headers],[Vertex]:[Top Word Pairs in Comment by Salience]],0),FALSE)</f>
        <v>97</v>
      </c>
    </row>
    <row r="82" spans="1:3" ht="15">
      <c r="A82" s="89" t="s">
        <v>348</v>
      </c>
      <c r="B82" s="112" t="s">
        <v>779</v>
      </c>
      <c r="C82" s="89">
        <f>VLOOKUP(GroupVertices[[#This Row],[Vertex]],Vertices[],MATCH("ID",Vertices[[#Headers],[Vertex]:[Top Word Pairs in Comment by Salience]],0),FALSE)</f>
        <v>19</v>
      </c>
    </row>
    <row r="83" spans="1:3" ht="15">
      <c r="A83" s="89" t="s">
        <v>348</v>
      </c>
      <c r="B83" s="112" t="s">
        <v>838</v>
      </c>
      <c r="C83" s="89">
        <f>VLOOKUP(GroupVertices[[#This Row],[Vertex]],Vertices[],MATCH("ID",Vertices[[#Headers],[Vertex]:[Top Word Pairs in Comment by Salience]],0),FALSE)</f>
        <v>78</v>
      </c>
    </row>
    <row r="84" spans="1:3" ht="15">
      <c r="A84" s="89" t="s">
        <v>348</v>
      </c>
      <c r="B84" s="112" t="s">
        <v>839</v>
      </c>
      <c r="C84" s="89">
        <f>VLOOKUP(GroupVertices[[#This Row],[Vertex]],Vertices[],MATCH("ID",Vertices[[#Headers],[Vertex]:[Top Word Pairs in Comment by Salience]],0),FALSE)</f>
        <v>77</v>
      </c>
    </row>
    <row r="85" spans="1:3" ht="15">
      <c r="A85" s="89" t="s">
        <v>348</v>
      </c>
      <c r="B85" s="112" t="s">
        <v>824</v>
      </c>
      <c r="C85" s="89">
        <f>VLOOKUP(GroupVertices[[#This Row],[Vertex]],Vertices[],MATCH("ID",Vertices[[#Headers],[Vertex]:[Top Word Pairs in Comment by Salience]],0),FALSE)</f>
        <v>64</v>
      </c>
    </row>
    <row r="86" spans="1:3" ht="15">
      <c r="A86" s="89" t="s">
        <v>348</v>
      </c>
      <c r="B86" s="112" t="s">
        <v>825</v>
      </c>
      <c r="C86" s="89">
        <f>VLOOKUP(GroupVertices[[#This Row],[Vertex]],Vertices[],MATCH("ID",Vertices[[#Headers],[Vertex]:[Top Word Pairs in Comment by Salience]],0),FALSE)</f>
        <v>60</v>
      </c>
    </row>
    <row r="87" spans="1:3" ht="15">
      <c r="A87" s="89" t="s">
        <v>348</v>
      </c>
      <c r="B87" s="112" t="s">
        <v>823</v>
      </c>
      <c r="C87" s="89">
        <f>VLOOKUP(GroupVertices[[#This Row],[Vertex]],Vertices[],MATCH("ID",Vertices[[#Headers],[Vertex]:[Top Word Pairs in Comment by Salience]],0),FALSE)</f>
        <v>63</v>
      </c>
    </row>
    <row r="88" spans="1:3" ht="15">
      <c r="A88" s="89" t="s">
        <v>348</v>
      </c>
      <c r="B88" s="112" t="s">
        <v>822</v>
      </c>
      <c r="C88" s="89">
        <f>VLOOKUP(GroupVertices[[#This Row],[Vertex]],Vertices[],MATCH("ID",Vertices[[#Headers],[Vertex]:[Top Word Pairs in Comment by Salience]],0),FALSE)</f>
        <v>62</v>
      </c>
    </row>
    <row r="89" spans="1:3" ht="15">
      <c r="A89" s="89" t="s">
        <v>348</v>
      </c>
      <c r="B89" s="112" t="s">
        <v>821</v>
      </c>
      <c r="C89" s="89">
        <f>VLOOKUP(GroupVertices[[#This Row],[Vertex]],Vertices[],MATCH("ID",Vertices[[#Headers],[Vertex]:[Top Word Pairs in Comment by Salience]],0),FALSE)</f>
        <v>61</v>
      </c>
    </row>
    <row r="90" spans="1:3" ht="15">
      <c r="A90" s="89" t="s">
        <v>348</v>
      </c>
      <c r="B90" s="112" t="s">
        <v>820</v>
      </c>
      <c r="C90" s="89">
        <f>VLOOKUP(GroupVertices[[#This Row],[Vertex]],Vertices[],MATCH("ID",Vertices[[#Headers],[Vertex]:[Top Word Pairs in Comment by Salience]],0),FALSE)</f>
        <v>59</v>
      </c>
    </row>
    <row r="91" spans="1:3" ht="15">
      <c r="A91" s="89" t="s">
        <v>349</v>
      </c>
      <c r="B91" s="112" t="s">
        <v>780</v>
      </c>
      <c r="C91" s="89">
        <f>VLOOKUP(GroupVertices[[#This Row],[Vertex]],Vertices[],MATCH("ID",Vertices[[#Headers],[Vertex]:[Top Word Pairs in Comment by Salience]],0),FALSE)</f>
        <v>8</v>
      </c>
    </row>
    <row r="92" spans="1:3" ht="15">
      <c r="A92" s="89" t="s">
        <v>349</v>
      </c>
      <c r="B92" s="112" t="s">
        <v>776</v>
      </c>
      <c r="C92" s="89">
        <f>VLOOKUP(GroupVertices[[#This Row],[Vertex]],Vertices[],MATCH("ID",Vertices[[#Headers],[Vertex]:[Top Word Pairs in Comment by Salience]],0),FALSE)</f>
        <v>16</v>
      </c>
    </row>
    <row r="93" spans="1:3" ht="15">
      <c r="A93" s="89" t="s">
        <v>349</v>
      </c>
      <c r="B93" s="112" t="s">
        <v>775</v>
      </c>
      <c r="C93" s="89">
        <f>VLOOKUP(GroupVertices[[#This Row],[Vertex]],Vertices[],MATCH("ID",Vertices[[#Headers],[Vertex]:[Top Word Pairs in Comment by Salience]],0),FALSE)</f>
        <v>15</v>
      </c>
    </row>
    <row r="94" spans="1:3" ht="15">
      <c r="A94" s="89" t="s">
        <v>349</v>
      </c>
      <c r="B94" s="112" t="s">
        <v>774</v>
      </c>
      <c r="C94" s="89">
        <f>VLOOKUP(GroupVertices[[#This Row],[Vertex]],Vertices[],MATCH("ID",Vertices[[#Headers],[Vertex]:[Top Word Pairs in Comment by Salience]],0),FALSE)</f>
        <v>14</v>
      </c>
    </row>
    <row r="95" spans="1:3" ht="15">
      <c r="A95" s="89" t="s">
        <v>349</v>
      </c>
      <c r="B95" s="112" t="s">
        <v>773</v>
      </c>
      <c r="C95" s="89">
        <f>VLOOKUP(GroupVertices[[#This Row],[Vertex]],Vertices[],MATCH("ID",Vertices[[#Headers],[Vertex]:[Top Word Pairs in Comment by Salience]],0),FALSE)</f>
        <v>13</v>
      </c>
    </row>
    <row r="96" spans="1:3" ht="15">
      <c r="A96" s="89" t="s">
        <v>349</v>
      </c>
      <c r="B96" s="112" t="s">
        <v>772</v>
      </c>
      <c r="C96" s="89">
        <f>VLOOKUP(GroupVertices[[#This Row],[Vertex]],Vertices[],MATCH("ID",Vertices[[#Headers],[Vertex]:[Top Word Pairs in Comment by Salience]],0),FALSE)</f>
        <v>12</v>
      </c>
    </row>
    <row r="97" spans="1:3" ht="15">
      <c r="A97" s="89" t="s">
        <v>349</v>
      </c>
      <c r="B97" s="112" t="s">
        <v>771</v>
      </c>
      <c r="C97" s="89">
        <f>VLOOKUP(GroupVertices[[#This Row],[Vertex]],Vertices[],MATCH("ID",Vertices[[#Headers],[Vertex]:[Top Word Pairs in Comment by Salience]],0),FALSE)</f>
        <v>11</v>
      </c>
    </row>
    <row r="98" spans="1:3" ht="15">
      <c r="A98" s="89" t="s">
        <v>349</v>
      </c>
      <c r="B98" s="112" t="s">
        <v>770</v>
      </c>
      <c r="C98" s="89">
        <f>VLOOKUP(GroupVertices[[#This Row],[Vertex]],Vertices[],MATCH("ID",Vertices[[#Headers],[Vertex]:[Top Word Pairs in Comment by Salience]],0),FALSE)</f>
        <v>10</v>
      </c>
    </row>
    <row r="99" spans="1:3" ht="15">
      <c r="A99" s="89" t="s">
        <v>349</v>
      </c>
      <c r="B99" s="112" t="s">
        <v>769</v>
      </c>
      <c r="C99" s="89">
        <f>VLOOKUP(GroupVertices[[#This Row],[Vertex]],Vertices[],MATCH("ID",Vertices[[#Headers],[Vertex]:[Top Word Pairs in Comment by Salience]],0),FALSE)</f>
        <v>9</v>
      </c>
    </row>
    <row r="100" spans="1:3" ht="15">
      <c r="A100" s="89" t="s">
        <v>349</v>
      </c>
      <c r="B100" s="112" t="s">
        <v>768</v>
      </c>
      <c r="C100" s="89">
        <f>VLOOKUP(GroupVertices[[#This Row],[Vertex]],Vertices[],MATCH("ID",Vertices[[#Headers],[Vertex]:[Top Word Pairs in Comment by Salience]],0),FALSE)</f>
        <v>7</v>
      </c>
    </row>
    <row r="101" spans="1:3" ht="15">
      <c r="A101" s="89" t="s">
        <v>350</v>
      </c>
      <c r="B101" s="112" t="s">
        <v>800</v>
      </c>
      <c r="C101" s="89">
        <f>VLOOKUP(GroupVertices[[#This Row],[Vertex]],Vertices[],MATCH("ID",Vertices[[#Headers],[Vertex]:[Top Word Pairs in Comment by Salience]],0),FALSE)</f>
        <v>40</v>
      </c>
    </row>
    <row r="102" spans="1:3" ht="15">
      <c r="A102" s="89" t="s">
        <v>350</v>
      </c>
      <c r="B102" s="112" t="s">
        <v>816</v>
      </c>
      <c r="C102" s="89">
        <f>VLOOKUP(GroupVertices[[#This Row],[Vertex]],Vertices[],MATCH("ID",Vertices[[#Headers],[Vertex]:[Top Word Pairs in Comment by Salience]],0),FALSE)</f>
        <v>55</v>
      </c>
    </row>
    <row r="103" spans="1:3" ht="15">
      <c r="A103" s="89" t="s">
        <v>350</v>
      </c>
      <c r="B103" s="112" t="s">
        <v>801</v>
      </c>
      <c r="C103" s="89">
        <f>VLOOKUP(GroupVertices[[#This Row],[Vertex]],Vertices[],MATCH("ID",Vertices[[#Headers],[Vertex]:[Top Word Pairs in Comment by Salience]],0),FALSE)</f>
        <v>41</v>
      </c>
    </row>
    <row r="104" spans="1:3" ht="15">
      <c r="A104" s="89" t="s">
        <v>350</v>
      </c>
      <c r="B104" s="112" t="s">
        <v>802</v>
      </c>
      <c r="C104" s="89">
        <f>VLOOKUP(GroupVertices[[#This Row],[Vertex]],Vertices[],MATCH("ID",Vertices[[#Headers],[Vertex]:[Top Word Pairs in Comment by Salience]],0),FALSE)</f>
        <v>37</v>
      </c>
    </row>
    <row r="105" spans="1:3" ht="15">
      <c r="A105" s="89" t="s">
        <v>350</v>
      </c>
      <c r="B105" s="112" t="s">
        <v>799</v>
      </c>
      <c r="C105" s="89">
        <f>VLOOKUP(GroupVertices[[#This Row],[Vertex]],Vertices[],MATCH("ID",Vertices[[#Headers],[Vertex]:[Top Word Pairs in Comment by Salience]],0),FALSE)</f>
        <v>39</v>
      </c>
    </row>
    <row r="106" spans="1:3" ht="15">
      <c r="A106" s="89" t="s">
        <v>350</v>
      </c>
      <c r="B106" s="112" t="s">
        <v>798</v>
      </c>
      <c r="C106" s="89">
        <f>VLOOKUP(GroupVertices[[#This Row],[Vertex]],Vertices[],MATCH("ID",Vertices[[#Headers],[Vertex]:[Top Word Pairs in Comment by Salience]],0),FALSE)</f>
        <v>38</v>
      </c>
    </row>
    <row r="107" spans="1:3" ht="15">
      <c r="A107" s="89" t="s">
        <v>350</v>
      </c>
      <c r="B107" s="112" t="s">
        <v>797</v>
      </c>
      <c r="C107" s="89">
        <f>VLOOKUP(GroupVertices[[#This Row],[Vertex]],Vertices[],MATCH("ID",Vertices[[#Headers],[Vertex]:[Top Word Pairs in Comment by Salience]],0),FALSE)</f>
        <v>36</v>
      </c>
    </row>
    <row r="108" spans="1:3" ht="15">
      <c r="A108" s="89" t="s">
        <v>351</v>
      </c>
      <c r="B108" s="112" t="s">
        <v>874</v>
      </c>
      <c r="C108" s="89">
        <f>VLOOKUP(GroupVertices[[#This Row],[Vertex]],Vertices[],MATCH("ID",Vertices[[#Headers],[Vertex]:[Top Word Pairs in Comment by Salience]],0),FALSE)</f>
        <v>113</v>
      </c>
    </row>
    <row r="109" spans="1:3" ht="15">
      <c r="A109" s="89" t="s">
        <v>351</v>
      </c>
      <c r="B109" s="112" t="s">
        <v>872</v>
      </c>
      <c r="C109" s="89">
        <f>VLOOKUP(GroupVertices[[#This Row],[Vertex]],Vertices[],MATCH("ID",Vertices[[#Headers],[Vertex]:[Top Word Pairs in Comment by Salience]],0),FALSE)</f>
        <v>112</v>
      </c>
    </row>
    <row r="110" spans="1:3" ht="15">
      <c r="A110" s="89" t="s">
        <v>351</v>
      </c>
      <c r="B110" s="112" t="s">
        <v>873</v>
      </c>
      <c r="C110" s="89">
        <f>VLOOKUP(GroupVertices[[#This Row],[Vertex]],Vertices[],MATCH("ID",Vertices[[#Headers],[Vertex]:[Top Word Pairs in Comment by Salience]],0),FALSE)</f>
        <v>111</v>
      </c>
    </row>
    <row r="111" spans="1:3" ht="15">
      <c r="A111" s="89" t="s">
        <v>351</v>
      </c>
      <c r="B111" s="112" t="s">
        <v>827</v>
      </c>
      <c r="C111" s="89">
        <f>VLOOKUP(GroupVertices[[#This Row],[Vertex]],Vertices[],MATCH("ID",Vertices[[#Headers],[Vertex]:[Top Word Pairs in Comment by Salience]],0),FALSE)</f>
        <v>67</v>
      </c>
    </row>
    <row r="112" spans="1:3" ht="15">
      <c r="A112" s="89" t="s">
        <v>351</v>
      </c>
      <c r="B112" s="112" t="s">
        <v>853</v>
      </c>
      <c r="C112" s="89">
        <f>VLOOKUP(GroupVertices[[#This Row],[Vertex]],Vertices[],MATCH("ID",Vertices[[#Headers],[Vertex]:[Top Word Pairs in Comment by Salience]],0),FALSE)</f>
        <v>92</v>
      </c>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611</v>
      </c>
      <c r="B2" s="34" t="s">
        <v>247</v>
      </c>
      <c r="D2" s="31">
        <f>MIN(Vertices[Degree])</f>
        <v>0</v>
      </c>
      <c r="E2" s="3">
        <f>COUNTIF(Vertices[Degree],"&gt;= "&amp;D2)-COUNTIF(Vertices[Degree],"&gt;="&amp;D3)</f>
        <v>0</v>
      </c>
      <c r="F2" s="37">
        <f>MIN(Vertices[In-Degree])</f>
        <v>0</v>
      </c>
      <c r="G2" s="38">
        <f>COUNTIF(Vertices[In-Degree],"&gt;= "&amp;F2)-COUNTIF(Vertices[In-Degree],"&gt;="&amp;F3)</f>
        <v>68</v>
      </c>
      <c r="H2" s="37">
        <f>MIN(Vertices[Out-Degree])</f>
        <v>0</v>
      </c>
      <c r="I2" s="38">
        <f>COUNTIF(Vertices[Out-Degree],"&gt;= "&amp;H2)-COUNTIF(Vertices[Out-Degree],"&gt;="&amp;H3)</f>
        <v>1</v>
      </c>
      <c r="J2" s="37">
        <f>MIN(Vertices[Betweenness Centrality])</f>
        <v>0</v>
      </c>
      <c r="K2" s="38">
        <f>COUNTIF(Vertices[Betweenness Centrality],"&gt;= "&amp;J2)-COUNTIF(Vertices[Betweenness Centrality],"&gt;="&amp;J3)</f>
        <v>84</v>
      </c>
      <c r="L2" s="37">
        <f>MIN(Vertices[Closeness Centrality])</f>
        <v>0.002538</v>
      </c>
      <c r="M2" s="38">
        <f>COUNTIF(Vertices[Closeness Centrality],"&gt;= "&amp;L2)-COUNTIF(Vertices[Closeness Centrality],"&gt;="&amp;L3)</f>
        <v>24</v>
      </c>
      <c r="N2" s="37">
        <f>MIN(Vertices[Eigenvector Centrality])</f>
        <v>0.001633</v>
      </c>
      <c r="O2" s="38">
        <f>COUNTIF(Vertices[Eigenvector Centrality],"&gt;= "&amp;N2)-COUNTIF(Vertices[Eigenvector Centrality],"&gt;="&amp;N3)</f>
        <v>54</v>
      </c>
      <c r="P2" s="37">
        <f>MIN(Vertices[PageRank])</f>
        <v>0.406202</v>
      </c>
      <c r="Q2" s="38">
        <f>COUNTIF(Vertices[PageRank],"&gt;= "&amp;P2)-COUNTIF(Vertices[PageRank],"&gt;="&amp;P3)</f>
        <v>56</v>
      </c>
      <c r="R2" s="37">
        <f>MIN(Vertices[Clustering Coefficient])</f>
        <v>0</v>
      </c>
      <c r="S2" s="43">
        <f>COUNTIF(Vertices[Clustering Coefficient],"&gt;= "&amp;R2)-COUNTIF(Vertices[Clustering Coefficient],"&gt;="&amp;R3)</f>
        <v>97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18"/>
      <c r="B3" s="118"/>
      <c r="D3" s="32">
        <f aca="true" t="shared" si="1" ref="D3:D26">D2+($D$50-$D$2)/BinDivisor</f>
        <v>0</v>
      </c>
      <c r="E3" s="3">
        <f>COUNTIF(Vertices[Degree],"&gt;= "&amp;D3)-COUNTIF(Vertices[Degree],"&gt;="&amp;D4)</f>
        <v>0</v>
      </c>
      <c r="F3" s="39">
        <f aca="true" t="shared" si="2" ref="F3:F26">F2+($F$50-$F$2)/BinDivisor</f>
        <v>0.875</v>
      </c>
      <c r="G3" s="40">
        <f>COUNTIF(Vertices[In-Degree],"&gt;= "&amp;F3)-COUNTIF(Vertices[In-Degree],"&gt;="&amp;F4)</f>
        <v>18</v>
      </c>
      <c r="H3" s="39">
        <f aca="true" t="shared" si="3" ref="H3:H26">H2+($H$50-$H$2)/BinDivisor</f>
        <v>0.22916666666666666</v>
      </c>
      <c r="I3" s="40">
        <f>COUNTIF(Vertices[Out-Degree],"&gt;= "&amp;H3)-COUNTIF(Vertices[Out-Degree],"&gt;="&amp;H4)</f>
        <v>0</v>
      </c>
      <c r="J3" s="39">
        <f aca="true" t="shared" si="4" ref="J3:J26">J2+($J$50-$J$2)/BinDivisor</f>
        <v>211.86768162500002</v>
      </c>
      <c r="K3" s="40">
        <f>COUNTIF(Vertices[Betweenness Centrality],"&gt;= "&amp;J3)-COUNTIF(Vertices[Betweenness Centrality],"&gt;="&amp;J4)</f>
        <v>14</v>
      </c>
      <c r="L3" s="39">
        <f aca="true" t="shared" si="5" ref="L3:L26">L2+($L$50-$L$2)/BinDivisor</f>
        <v>0.0026021666666666667</v>
      </c>
      <c r="M3" s="40">
        <f>COUNTIF(Vertices[Closeness Centrality],"&gt;= "&amp;L3)-COUNTIF(Vertices[Closeness Centrality],"&gt;="&amp;L4)</f>
        <v>18</v>
      </c>
      <c r="N3" s="39">
        <f aca="true" t="shared" si="6" ref="N3:N26">N2+($N$50-$N$2)/BinDivisor</f>
        <v>0.0034699791666666664</v>
      </c>
      <c r="O3" s="40">
        <f>COUNTIF(Vertices[Eigenvector Centrality],"&gt;= "&amp;N3)-COUNTIF(Vertices[Eigenvector Centrality],"&gt;="&amp;N4)</f>
        <v>4</v>
      </c>
      <c r="P3" s="39">
        <f aca="true" t="shared" si="7" ref="P3:P26">P2+($P$50-$P$2)/BinDivisor</f>
        <v>0.6550858749999999</v>
      </c>
      <c r="Q3" s="40">
        <f>COUNTIF(Vertices[PageRank],"&gt;= "&amp;P3)-COUNTIF(Vertices[PageRank],"&gt;="&amp;P4)</f>
        <v>20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111</v>
      </c>
      <c r="D4" s="32">
        <f t="shared" si="1"/>
        <v>0</v>
      </c>
      <c r="E4" s="3">
        <f>COUNTIF(Vertices[Degree],"&gt;= "&amp;D4)-COUNTIF(Vertices[Degree],"&gt;="&amp;D5)</f>
        <v>0</v>
      </c>
      <c r="F4" s="37">
        <f t="shared" si="2"/>
        <v>1.75</v>
      </c>
      <c r="G4" s="38">
        <f>COUNTIF(Vertices[In-Degree],"&gt;= "&amp;F4)-COUNTIF(Vertices[In-Degree],"&gt;="&amp;F5)</f>
        <v>8</v>
      </c>
      <c r="H4" s="37">
        <f t="shared" si="3"/>
        <v>0.4583333333333333</v>
      </c>
      <c r="I4" s="38">
        <f>COUNTIF(Vertices[Out-Degree],"&gt;= "&amp;H4)-COUNTIF(Vertices[Out-Degree],"&gt;="&amp;H5)</f>
        <v>0</v>
      </c>
      <c r="J4" s="37">
        <f t="shared" si="4"/>
        <v>423.73536325000003</v>
      </c>
      <c r="K4" s="38">
        <f>COUNTIF(Vertices[Betweenness Centrality],"&gt;= "&amp;J4)-COUNTIF(Vertices[Betweenness Centrality],"&gt;="&amp;J5)</f>
        <v>4</v>
      </c>
      <c r="L4" s="37">
        <f t="shared" si="5"/>
        <v>0.0026663333333333335</v>
      </c>
      <c r="M4" s="38">
        <f>COUNTIF(Vertices[Closeness Centrality],"&gt;= "&amp;L4)-COUNTIF(Vertices[Closeness Centrality],"&gt;="&amp;L5)</f>
        <v>22</v>
      </c>
      <c r="N4" s="37">
        <f t="shared" si="6"/>
        <v>0.005306958333333333</v>
      </c>
      <c r="O4" s="38">
        <f>COUNTIF(Vertices[Eigenvector Centrality],"&gt;= "&amp;N4)-COUNTIF(Vertices[Eigenvector Centrality],"&gt;="&amp;N5)</f>
        <v>6</v>
      </c>
      <c r="P4" s="37">
        <f t="shared" si="7"/>
        <v>0.9039697499999999</v>
      </c>
      <c r="Q4" s="38">
        <f>COUNTIF(Vertices[PageRank],"&gt;= "&amp;P4)-COUNTIF(Vertices[PageRank],"&gt;="&amp;P5)</f>
        <v>11</v>
      </c>
      <c r="R4" s="37">
        <f t="shared" si="8"/>
        <v>0.020833333333333332</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2.625</v>
      </c>
      <c r="G5" s="40">
        <f>COUNTIF(Vertices[In-Degree],"&gt;= "&amp;F5)-COUNTIF(Vertices[In-Degree],"&gt;="&amp;F6)</f>
        <v>5</v>
      </c>
      <c r="H5" s="39">
        <f t="shared" si="3"/>
        <v>0.6875</v>
      </c>
      <c r="I5" s="40">
        <f>COUNTIF(Vertices[Out-Degree],"&gt;= "&amp;H5)-COUNTIF(Vertices[Out-Degree],"&gt;="&amp;H6)</f>
        <v>0</v>
      </c>
      <c r="J5" s="39">
        <f t="shared" si="4"/>
        <v>635.603044875</v>
      </c>
      <c r="K5" s="40">
        <f>COUNTIF(Vertices[Betweenness Centrality],"&gt;= "&amp;J5)-COUNTIF(Vertices[Betweenness Centrality],"&gt;="&amp;J6)</f>
        <v>5</v>
      </c>
      <c r="L5" s="39">
        <f t="shared" si="5"/>
        <v>0.0027305000000000003</v>
      </c>
      <c r="M5" s="40">
        <f>COUNTIF(Vertices[Closeness Centrality],"&gt;= "&amp;L5)-COUNTIF(Vertices[Closeness Centrality],"&gt;="&amp;L6)</f>
        <v>3</v>
      </c>
      <c r="N5" s="39">
        <f t="shared" si="6"/>
        <v>0.007143937499999999</v>
      </c>
      <c r="O5" s="40">
        <f>COUNTIF(Vertices[Eigenvector Centrality],"&gt;= "&amp;N5)-COUNTIF(Vertices[Eigenvector Centrality],"&gt;="&amp;N6)</f>
        <v>1</v>
      </c>
      <c r="P5" s="39">
        <f t="shared" si="7"/>
        <v>1.1528536249999999</v>
      </c>
      <c r="Q5" s="40">
        <f>COUNTIF(Vertices[PageRank],"&gt;= "&amp;P5)-COUNTIF(Vertices[PageRank],"&gt;="&amp;P6)</f>
        <v>5</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145</v>
      </c>
      <c r="D6" s="32">
        <f t="shared" si="1"/>
        <v>0</v>
      </c>
      <c r="E6" s="3">
        <f>COUNTIF(Vertices[Degree],"&gt;= "&amp;D6)-COUNTIF(Vertices[Degree],"&gt;="&amp;D7)</f>
        <v>0</v>
      </c>
      <c r="F6" s="37">
        <f t="shared" si="2"/>
        <v>3.5</v>
      </c>
      <c r="G6" s="38">
        <f>COUNTIF(Vertices[In-Degree],"&gt;= "&amp;F6)-COUNTIF(Vertices[In-Degree],"&gt;="&amp;F7)</f>
        <v>2</v>
      </c>
      <c r="H6" s="37">
        <f t="shared" si="3"/>
        <v>0.9166666666666666</v>
      </c>
      <c r="I6" s="38">
        <f>COUNTIF(Vertices[Out-Degree],"&gt;= "&amp;H6)-COUNTIF(Vertices[Out-Degree],"&gt;="&amp;H7)</f>
        <v>82</v>
      </c>
      <c r="J6" s="37">
        <f t="shared" si="4"/>
        <v>847.4707265000001</v>
      </c>
      <c r="K6" s="38">
        <f>COUNTIF(Vertices[Betweenness Centrality],"&gt;= "&amp;J6)-COUNTIF(Vertices[Betweenness Centrality],"&gt;="&amp;J7)</f>
        <v>1</v>
      </c>
      <c r="L6" s="37">
        <f t="shared" si="5"/>
        <v>0.002794666666666667</v>
      </c>
      <c r="M6" s="38">
        <f>COUNTIF(Vertices[Closeness Centrality],"&gt;= "&amp;L6)-COUNTIF(Vertices[Closeness Centrality],"&gt;="&amp;L7)</f>
        <v>0</v>
      </c>
      <c r="N6" s="37">
        <f t="shared" si="6"/>
        <v>0.008980916666666667</v>
      </c>
      <c r="O6" s="38">
        <f>COUNTIF(Vertices[Eigenvector Centrality],"&gt;= "&amp;N6)-COUNTIF(Vertices[Eigenvector Centrality],"&gt;="&amp;N7)</f>
        <v>2</v>
      </c>
      <c r="P6" s="37">
        <f t="shared" si="7"/>
        <v>1.4017374999999999</v>
      </c>
      <c r="Q6" s="38">
        <f>COUNTIF(Vertices[PageRank],"&gt;= "&amp;P6)-COUNTIF(Vertices[PageRank],"&gt;="&amp;P7)</f>
        <v>8</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51</v>
      </c>
      <c r="D7" s="32">
        <f t="shared" si="1"/>
        <v>0</v>
      </c>
      <c r="E7" s="3">
        <f>COUNTIF(Vertices[Degree],"&gt;= "&amp;D7)-COUNTIF(Vertices[Degree],"&gt;="&amp;D8)</f>
        <v>0</v>
      </c>
      <c r="F7" s="39">
        <f t="shared" si="2"/>
        <v>4.375</v>
      </c>
      <c r="G7" s="40">
        <f>COUNTIF(Vertices[In-Degree],"&gt;= "&amp;F7)-COUNTIF(Vertices[In-Degree],"&gt;="&amp;F8)</f>
        <v>2</v>
      </c>
      <c r="H7" s="39">
        <f t="shared" si="3"/>
        <v>1.1458333333333333</v>
      </c>
      <c r="I7" s="40">
        <f>COUNTIF(Vertices[Out-Degree],"&gt;= "&amp;H7)-COUNTIF(Vertices[Out-Degree],"&gt;="&amp;H8)</f>
        <v>0</v>
      </c>
      <c r="J7" s="39">
        <f t="shared" si="4"/>
        <v>1059.3384081250001</v>
      </c>
      <c r="K7" s="40">
        <f>COUNTIF(Vertices[Betweenness Centrality],"&gt;= "&amp;J7)-COUNTIF(Vertices[Betweenness Centrality],"&gt;="&amp;J8)</f>
        <v>0</v>
      </c>
      <c r="L7" s="39">
        <f t="shared" si="5"/>
        <v>0.002858833333333334</v>
      </c>
      <c r="M7" s="40">
        <f>COUNTIF(Vertices[Closeness Centrality],"&gt;= "&amp;L7)-COUNTIF(Vertices[Closeness Centrality],"&gt;="&amp;L8)</f>
        <v>0</v>
      </c>
      <c r="N7" s="39">
        <f t="shared" si="6"/>
        <v>0.010817895833333334</v>
      </c>
      <c r="O7" s="40">
        <f>COUNTIF(Vertices[Eigenvector Centrality],"&gt;= "&amp;N7)-COUNTIF(Vertices[Eigenvector Centrality],"&gt;="&amp;N8)</f>
        <v>7</v>
      </c>
      <c r="P7" s="39">
        <f t="shared" si="7"/>
        <v>1.6506213749999998</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196</v>
      </c>
      <c r="D8" s="32">
        <f t="shared" si="1"/>
        <v>0</v>
      </c>
      <c r="E8" s="3">
        <f>COUNTIF(Vertices[Degree],"&gt;= "&amp;D8)-COUNTIF(Vertices[Degree],"&gt;="&amp;D9)</f>
        <v>0</v>
      </c>
      <c r="F8" s="37">
        <f t="shared" si="2"/>
        <v>5.25</v>
      </c>
      <c r="G8" s="38">
        <f>COUNTIF(Vertices[In-Degree],"&gt;= "&amp;F8)-COUNTIF(Vertices[In-Degree],"&gt;="&amp;F9)</f>
        <v>3</v>
      </c>
      <c r="H8" s="37">
        <f t="shared" si="3"/>
        <v>1.375</v>
      </c>
      <c r="I8" s="38">
        <f>COUNTIF(Vertices[Out-Degree],"&gt;= "&amp;H8)-COUNTIF(Vertices[Out-Degree],"&gt;="&amp;H9)</f>
        <v>0</v>
      </c>
      <c r="J8" s="37">
        <f t="shared" si="4"/>
        <v>1271.20608975</v>
      </c>
      <c r="K8" s="38">
        <f>COUNTIF(Vertices[Betweenness Centrality],"&gt;= "&amp;J8)-COUNTIF(Vertices[Betweenness Centrality],"&gt;="&amp;J9)</f>
        <v>0</v>
      </c>
      <c r="L8" s="37">
        <f t="shared" si="5"/>
        <v>0.0029230000000000007</v>
      </c>
      <c r="M8" s="38">
        <f>COUNTIF(Vertices[Closeness Centrality],"&gt;= "&amp;L8)-COUNTIF(Vertices[Closeness Centrality],"&gt;="&amp;L9)</f>
        <v>0</v>
      </c>
      <c r="N8" s="37">
        <f t="shared" si="6"/>
        <v>0.012654875000000001</v>
      </c>
      <c r="O8" s="38">
        <f>COUNTIF(Vertices[Eigenvector Centrality],"&gt;= "&amp;N8)-COUNTIF(Vertices[Eigenvector Centrality],"&gt;="&amp;N9)</f>
        <v>7</v>
      </c>
      <c r="P8" s="37">
        <f t="shared" si="7"/>
        <v>1.8995052499999998</v>
      </c>
      <c r="Q8" s="38">
        <f>COUNTIF(Vertices[PageRank],"&gt;= "&amp;P8)-COUNTIF(Vertices[PageRank],"&gt;="&amp;P9)</f>
        <v>1</v>
      </c>
      <c r="R8" s="37">
        <f t="shared" si="8"/>
        <v>0.06249999999999999</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6.125</v>
      </c>
      <c r="G9" s="40">
        <f>COUNTIF(Vertices[In-Degree],"&gt;= "&amp;F9)-COUNTIF(Vertices[In-Degree],"&gt;="&amp;F10)</f>
        <v>0</v>
      </c>
      <c r="H9" s="39">
        <f t="shared" si="3"/>
        <v>1.6041666666666667</v>
      </c>
      <c r="I9" s="40">
        <f>COUNTIF(Vertices[Out-Degree],"&gt;= "&amp;H9)-COUNTIF(Vertices[Out-Degree],"&gt;="&amp;H10)</f>
        <v>0</v>
      </c>
      <c r="J9" s="39">
        <f t="shared" si="4"/>
        <v>1483.073771375</v>
      </c>
      <c r="K9" s="40">
        <f>COUNTIF(Vertices[Betweenness Centrality],"&gt;= "&amp;J9)-COUNTIF(Vertices[Betweenness Centrality],"&gt;="&amp;J10)</f>
        <v>0</v>
      </c>
      <c r="L9" s="39">
        <f t="shared" si="5"/>
        <v>0.0029871666666666675</v>
      </c>
      <c r="M9" s="40">
        <f>COUNTIF(Vertices[Closeness Centrality],"&gt;= "&amp;L9)-COUNTIF(Vertices[Closeness Centrality],"&gt;="&amp;L10)</f>
        <v>0</v>
      </c>
      <c r="N9" s="39">
        <f t="shared" si="6"/>
        <v>0.014491854166666669</v>
      </c>
      <c r="O9" s="40">
        <f>COUNTIF(Vertices[Eigenvector Centrality],"&gt;= "&amp;N9)-COUNTIF(Vertices[Eigenvector Centrality],"&gt;="&amp;N10)</f>
        <v>13</v>
      </c>
      <c r="P9" s="39">
        <f t="shared" si="7"/>
        <v>2.1483891249999996</v>
      </c>
      <c r="Q9" s="40">
        <f>COUNTIF(Vertices[PageRank],"&gt;= "&amp;P9)-COUNTIF(Vertices[PageRank],"&gt;="&amp;P10)</f>
        <v>3</v>
      </c>
      <c r="R9" s="39">
        <f t="shared" si="8"/>
        <v>0.07291666666666666</v>
      </c>
      <c r="S9" s="44">
        <f>COUNTIF(Vertices[Clustering Coefficient],"&gt;= "&amp;R9)-COUNTIF(Vertices[Clustering Coefficient],"&gt;="&amp;R10)</f>
        <v>0</v>
      </c>
      <c r="T9" s="39" t="e">
        <f ca="1" t="shared" si="9"/>
        <v>#REF!</v>
      </c>
      <c r="U9" s="40" t="e">
        <f ca="1" t="shared" si="0"/>
        <v>#REF!</v>
      </c>
    </row>
    <row r="10" spans="1:21" ht="15">
      <c r="A10" s="34" t="s">
        <v>612</v>
      </c>
      <c r="B10" s="34">
        <v>2</v>
      </c>
      <c r="D10" s="32">
        <f t="shared" si="1"/>
        <v>0</v>
      </c>
      <c r="E10" s="3">
        <f>COUNTIF(Vertices[Degree],"&gt;= "&amp;D10)-COUNTIF(Vertices[Degree],"&gt;="&amp;D11)</f>
        <v>0</v>
      </c>
      <c r="F10" s="37">
        <f t="shared" si="2"/>
        <v>7</v>
      </c>
      <c r="G10" s="38">
        <f>COUNTIF(Vertices[In-Degree],"&gt;= "&amp;F10)-COUNTIF(Vertices[In-Degree],"&gt;="&amp;F11)</f>
        <v>2</v>
      </c>
      <c r="H10" s="37">
        <f t="shared" si="3"/>
        <v>1.8333333333333335</v>
      </c>
      <c r="I10" s="38">
        <f>COUNTIF(Vertices[Out-Degree],"&gt;= "&amp;H10)-COUNTIF(Vertices[Out-Degree],"&gt;="&amp;H11)</f>
        <v>16</v>
      </c>
      <c r="J10" s="37">
        <f t="shared" si="4"/>
        <v>1694.941453</v>
      </c>
      <c r="K10" s="38">
        <f>COUNTIF(Vertices[Betweenness Centrality],"&gt;= "&amp;J10)-COUNTIF(Vertices[Betweenness Centrality],"&gt;="&amp;J11)</f>
        <v>0</v>
      </c>
      <c r="L10" s="37">
        <f t="shared" si="5"/>
        <v>0.0030513333333333343</v>
      </c>
      <c r="M10" s="38">
        <f>COUNTIF(Vertices[Closeness Centrality],"&gt;= "&amp;L10)-COUNTIF(Vertices[Closeness Centrality],"&gt;="&amp;L11)</f>
        <v>0</v>
      </c>
      <c r="N10" s="37">
        <f t="shared" si="6"/>
        <v>0.016328833333333334</v>
      </c>
      <c r="O10" s="38">
        <f>COUNTIF(Vertices[Eigenvector Centrality],"&gt;= "&amp;N10)-COUNTIF(Vertices[Eigenvector Centrality],"&gt;="&amp;N11)</f>
        <v>6</v>
      </c>
      <c r="P10" s="37">
        <f t="shared" si="7"/>
        <v>2.3972729999999993</v>
      </c>
      <c r="Q10" s="38">
        <f>COUNTIF(Vertices[PageRank],"&gt;= "&amp;P10)-COUNTIF(Vertices[PageRank],"&gt;="&amp;P11)</f>
        <v>1</v>
      </c>
      <c r="R10" s="37">
        <f t="shared" si="8"/>
        <v>0.08333333333333333</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7.875</v>
      </c>
      <c r="G11" s="40">
        <f>COUNTIF(Vertices[In-Degree],"&gt;= "&amp;F11)-COUNTIF(Vertices[In-Degree],"&gt;="&amp;F12)</f>
        <v>0</v>
      </c>
      <c r="H11" s="39">
        <f t="shared" si="3"/>
        <v>2.0625</v>
      </c>
      <c r="I11" s="40">
        <f>COUNTIF(Vertices[Out-Degree],"&gt;= "&amp;H11)-COUNTIF(Vertices[Out-Degree],"&gt;="&amp;H12)</f>
        <v>0</v>
      </c>
      <c r="J11" s="39">
        <f t="shared" si="4"/>
        <v>1906.8091346249998</v>
      </c>
      <c r="K11" s="40">
        <f>COUNTIF(Vertices[Betweenness Centrality],"&gt;= "&amp;J11)-COUNTIF(Vertices[Betweenness Centrality],"&gt;="&amp;J12)</f>
        <v>2</v>
      </c>
      <c r="L11" s="39">
        <f t="shared" si="5"/>
        <v>0.003115500000000001</v>
      </c>
      <c r="M11" s="40">
        <f>COUNTIF(Vertices[Closeness Centrality],"&gt;= "&amp;L11)-COUNTIF(Vertices[Closeness Centrality],"&gt;="&amp;L12)</f>
        <v>0</v>
      </c>
      <c r="N11" s="39">
        <f t="shared" si="6"/>
        <v>0.0181658125</v>
      </c>
      <c r="O11" s="40">
        <f>COUNTIF(Vertices[Eigenvector Centrality],"&gt;= "&amp;N11)-COUNTIF(Vertices[Eigenvector Centrality],"&gt;="&amp;N12)</f>
        <v>3</v>
      </c>
      <c r="P11" s="39">
        <f t="shared" si="7"/>
        <v>2.646156874999999</v>
      </c>
      <c r="Q11" s="40">
        <f>COUNTIF(Vertices[PageRank],"&gt;= "&amp;P11)-COUNTIF(Vertices[PageRank],"&gt;="&amp;P12)</f>
        <v>1</v>
      </c>
      <c r="R11" s="39">
        <f t="shared" si="8"/>
        <v>0.09375</v>
      </c>
      <c r="S11" s="44">
        <f>COUNTIF(Vertices[Clustering Coefficient],"&gt;= "&amp;R11)-COUNTIF(Vertices[Clustering Coefficient],"&gt;="&amp;R12)</f>
        <v>0</v>
      </c>
      <c r="T11" s="39" t="e">
        <f ca="1" t="shared" si="9"/>
        <v>#REF!</v>
      </c>
      <c r="U11" s="40" t="e">
        <f ca="1" t="shared" si="0"/>
        <v>#REF!</v>
      </c>
    </row>
    <row r="12" spans="1:21" ht="15">
      <c r="A12" s="34" t="s">
        <v>308</v>
      </c>
      <c r="B12" s="34">
        <v>44</v>
      </c>
      <c r="D12" s="32">
        <f t="shared" si="1"/>
        <v>0</v>
      </c>
      <c r="E12" s="3">
        <f>COUNTIF(Vertices[Degree],"&gt;= "&amp;D12)-COUNTIF(Vertices[Degree],"&gt;="&amp;D13)</f>
        <v>0</v>
      </c>
      <c r="F12" s="37">
        <f t="shared" si="2"/>
        <v>8.75</v>
      </c>
      <c r="G12" s="38">
        <f>COUNTIF(Vertices[In-Degree],"&gt;= "&amp;F12)-COUNTIF(Vertices[In-Degree],"&gt;="&amp;F13)</f>
        <v>0</v>
      </c>
      <c r="H12" s="37">
        <f t="shared" si="3"/>
        <v>2.2916666666666665</v>
      </c>
      <c r="I12" s="38">
        <f>COUNTIF(Vertices[Out-Degree],"&gt;= "&amp;H12)-COUNTIF(Vertices[Out-Degree],"&gt;="&amp;H13)</f>
        <v>0</v>
      </c>
      <c r="J12" s="37">
        <f t="shared" si="4"/>
        <v>2118.67681625</v>
      </c>
      <c r="K12" s="38">
        <f>COUNTIF(Vertices[Betweenness Centrality],"&gt;= "&amp;J12)-COUNTIF(Vertices[Betweenness Centrality],"&gt;="&amp;J13)</f>
        <v>0</v>
      </c>
      <c r="L12" s="37">
        <f t="shared" si="5"/>
        <v>0.003179666666666668</v>
      </c>
      <c r="M12" s="38">
        <f>COUNTIF(Vertices[Closeness Centrality],"&gt;= "&amp;L12)-COUNTIF(Vertices[Closeness Centrality],"&gt;="&amp;L13)</f>
        <v>0</v>
      </c>
      <c r="N12" s="37">
        <f t="shared" si="6"/>
        <v>0.020002791666666665</v>
      </c>
      <c r="O12" s="38">
        <f>COUNTIF(Vertices[Eigenvector Centrality],"&gt;= "&amp;N12)-COUNTIF(Vertices[Eigenvector Centrality],"&gt;="&amp;N13)</f>
        <v>3</v>
      </c>
      <c r="P12" s="37">
        <f t="shared" si="7"/>
        <v>2.895040749999999</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324</v>
      </c>
      <c r="B13" s="34">
        <v>152</v>
      </c>
      <c r="D13" s="32">
        <f t="shared" si="1"/>
        <v>0</v>
      </c>
      <c r="E13" s="3">
        <f>COUNTIF(Vertices[Degree],"&gt;= "&amp;D13)-COUNTIF(Vertices[Degree],"&gt;="&amp;D14)</f>
        <v>0</v>
      </c>
      <c r="F13" s="39">
        <f t="shared" si="2"/>
        <v>9.625</v>
      </c>
      <c r="G13" s="40">
        <f>COUNTIF(Vertices[In-Degree],"&gt;= "&amp;F13)-COUNTIF(Vertices[In-Degree],"&gt;="&amp;F14)</f>
        <v>0</v>
      </c>
      <c r="H13" s="39">
        <f t="shared" si="3"/>
        <v>2.520833333333333</v>
      </c>
      <c r="I13" s="40">
        <f>COUNTIF(Vertices[Out-Degree],"&gt;= "&amp;H13)-COUNTIF(Vertices[Out-Degree],"&gt;="&amp;H14)</f>
        <v>0</v>
      </c>
      <c r="J13" s="39">
        <f t="shared" si="4"/>
        <v>2330.5444978749997</v>
      </c>
      <c r="K13" s="40">
        <f>COUNTIF(Vertices[Betweenness Centrality],"&gt;= "&amp;J13)-COUNTIF(Vertices[Betweenness Centrality],"&gt;="&amp;J14)</f>
        <v>0</v>
      </c>
      <c r="L13" s="39">
        <f t="shared" si="5"/>
        <v>0.0032438333333333347</v>
      </c>
      <c r="M13" s="40">
        <f>COUNTIF(Vertices[Closeness Centrality],"&gt;= "&amp;L13)-COUNTIF(Vertices[Closeness Centrality],"&gt;="&amp;L14)</f>
        <v>0</v>
      </c>
      <c r="N13" s="39">
        <f t="shared" si="6"/>
        <v>0.02183977083333333</v>
      </c>
      <c r="O13" s="40">
        <f>COUNTIF(Vertices[Eigenvector Centrality],"&gt;= "&amp;N13)-COUNTIF(Vertices[Eigenvector Centrality],"&gt;="&amp;N14)</f>
        <v>3</v>
      </c>
      <c r="P13" s="39">
        <f t="shared" si="7"/>
        <v>3.1439246249999986</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10.5</v>
      </c>
      <c r="G14" s="38">
        <f>COUNTIF(Vertices[In-Degree],"&gt;= "&amp;F14)-COUNTIF(Vertices[In-Degree],"&gt;="&amp;F15)</f>
        <v>1</v>
      </c>
      <c r="H14" s="37">
        <f t="shared" si="3"/>
        <v>2.7499999999999996</v>
      </c>
      <c r="I14" s="38">
        <f>COUNTIF(Vertices[Out-Degree],"&gt;= "&amp;H14)-COUNTIF(Vertices[Out-Degree],"&gt;="&amp;H15)</f>
        <v>0</v>
      </c>
      <c r="J14" s="37">
        <f t="shared" si="4"/>
        <v>2542.4121794999996</v>
      </c>
      <c r="K14" s="38">
        <f>COUNTIF(Vertices[Betweenness Centrality],"&gt;= "&amp;J14)-COUNTIF(Vertices[Betweenness Centrality],"&gt;="&amp;J15)</f>
        <v>0</v>
      </c>
      <c r="L14" s="37">
        <f t="shared" si="5"/>
        <v>0.0033080000000000015</v>
      </c>
      <c r="M14" s="38">
        <f>COUNTIF(Vertices[Closeness Centrality],"&gt;= "&amp;L14)-COUNTIF(Vertices[Closeness Centrality],"&gt;="&amp;L15)</f>
        <v>1</v>
      </c>
      <c r="N14" s="37">
        <f t="shared" si="6"/>
        <v>0.023676749999999996</v>
      </c>
      <c r="O14" s="38">
        <f>COUNTIF(Vertices[Eigenvector Centrality],"&gt;= "&amp;N14)-COUNTIF(Vertices[Eigenvector Centrality],"&gt;="&amp;N15)</f>
        <v>0</v>
      </c>
      <c r="P14" s="37">
        <f t="shared" si="7"/>
        <v>3.3928084999999983</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151</v>
      </c>
      <c r="B15" s="34">
        <v>16</v>
      </c>
      <c r="D15" s="32">
        <f t="shared" si="1"/>
        <v>0</v>
      </c>
      <c r="E15" s="3">
        <f>COUNTIF(Vertices[Degree],"&gt;= "&amp;D15)-COUNTIF(Vertices[Degree],"&gt;="&amp;D16)</f>
        <v>0</v>
      </c>
      <c r="F15" s="39">
        <f t="shared" si="2"/>
        <v>11.375</v>
      </c>
      <c r="G15" s="40">
        <f>COUNTIF(Vertices[In-Degree],"&gt;= "&amp;F15)-COUNTIF(Vertices[In-Degree],"&gt;="&amp;F16)</f>
        <v>1</v>
      </c>
      <c r="H15" s="39">
        <f t="shared" si="3"/>
        <v>2.979166666666666</v>
      </c>
      <c r="I15" s="40">
        <f>COUNTIF(Vertices[Out-Degree],"&gt;= "&amp;H15)-COUNTIF(Vertices[Out-Degree],"&gt;="&amp;H16)</f>
        <v>6</v>
      </c>
      <c r="J15" s="39">
        <f t="shared" si="4"/>
        <v>2754.2798611249996</v>
      </c>
      <c r="K15" s="40">
        <f>COUNTIF(Vertices[Betweenness Centrality],"&gt;= "&amp;J15)-COUNTIF(Vertices[Betweenness Centrality],"&gt;="&amp;J16)</f>
        <v>0</v>
      </c>
      <c r="L15" s="39">
        <f t="shared" si="5"/>
        <v>0.0033721666666666683</v>
      </c>
      <c r="M15" s="40">
        <f>COUNTIF(Vertices[Closeness Centrality],"&gt;= "&amp;L15)-COUNTIF(Vertices[Closeness Centrality],"&gt;="&amp;L16)</f>
        <v>0</v>
      </c>
      <c r="N15" s="39">
        <f t="shared" si="6"/>
        <v>0.025513729166666662</v>
      </c>
      <c r="O15" s="40">
        <f>COUNTIF(Vertices[Eigenvector Centrality],"&gt;= "&amp;N15)-COUNTIF(Vertices[Eigenvector Centrality],"&gt;="&amp;N16)</f>
        <v>1</v>
      </c>
      <c r="P15" s="39">
        <f t="shared" si="7"/>
        <v>3.641692374999998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12.25</v>
      </c>
      <c r="G16" s="38">
        <f>COUNTIF(Vertices[In-Degree],"&gt;= "&amp;F16)-COUNTIF(Vertices[In-Degree],"&gt;="&amp;F17)</f>
        <v>0</v>
      </c>
      <c r="H16" s="37">
        <f t="shared" si="3"/>
        <v>3.2083333333333326</v>
      </c>
      <c r="I16" s="38">
        <f>COUNTIF(Vertices[Out-Degree],"&gt;= "&amp;H16)-COUNTIF(Vertices[Out-Degree],"&gt;="&amp;H17)</f>
        <v>0</v>
      </c>
      <c r="J16" s="37">
        <f t="shared" si="4"/>
        <v>2966.1475427499995</v>
      </c>
      <c r="K16" s="38">
        <f>COUNTIF(Vertices[Betweenness Centrality],"&gt;= "&amp;J16)-COUNTIF(Vertices[Betweenness Centrality],"&gt;="&amp;J17)</f>
        <v>0</v>
      </c>
      <c r="L16" s="37">
        <f t="shared" si="5"/>
        <v>0.003436333333333335</v>
      </c>
      <c r="M16" s="38">
        <f>COUNTIF(Vertices[Closeness Centrality],"&gt;= "&amp;L16)-COUNTIF(Vertices[Closeness Centrality],"&gt;="&amp;L17)</f>
        <v>0</v>
      </c>
      <c r="N16" s="37">
        <f t="shared" si="6"/>
        <v>0.027350708333333328</v>
      </c>
      <c r="O16" s="38">
        <f>COUNTIF(Vertices[Eigenvector Centrality],"&gt;= "&amp;N16)-COUNTIF(Vertices[Eigenvector Centrality],"&gt;="&amp;N17)</f>
        <v>0</v>
      </c>
      <c r="P16" s="37">
        <f t="shared" si="7"/>
        <v>3.890576249999998</v>
      </c>
      <c r="Q16" s="38">
        <f>COUNTIF(Vertices[PageRank],"&gt;= "&amp;P16)-COUNTIF(Vertices[PageRank],"&gt;="&amp;P17)</f>
        <v>0</v>
      </c>
      <c r="R16" s="37">
        <f t="shared" si="8"/>
        <v>0.14583333333333331</v>
      </c>
      <c r="S16" s="43">
        <f>COUNTIF(Vertices[Clustering Coefficient],"&gt;= "&amp;R16)-COUNTIF(Vertices[Clustering Coefficient],"&gt;="&amp;R17)</f>
        <v>1</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13.125</v>
      </c>
      <c r="G17" s="40">
        <f>COUNTIF(Vertices[In-Degree],"&gt;= "&amp;F17)-COUNTIF(Vertices[In-Degree],"&gt;="&amp;F18)</f>
        <v>0</v>
      </c>
      <c r="H17" s="39">
        <f t="shared" si="3"/>
        <v>3.437499999999999</v>
      </c>
      <c r="I17" s="40">
        <f>COUNTIF(Vertices[Out-Degree],"&gt;= "&amp;H17)-COUNTIF(Vertices[Out-Degree],"&gt;="&amp;H18)</f>
        <v>0</v>
      </c>
      <c r="J17" s="39">
        <f t="shared" si="4"/>
        <v>3178.0152243749994</v>
      </c>
      <c r="K17" s="40">
        <f>COUNTIF(Vertices[Betweenness Centrality],"&gt;= "&amp;J17)-COUNTIF(Vertices[Betweenness Centrality],"&gt;="&amp;J18)</f>
        <v>0</v>
      </c>
      <c r="L17" s="39">
        <f t="shared" si="5"/>
        <v>0.003500500000000002</v>
      </c>
      <c r="M17" s="40">
        <f>COUNTIF(Vertices[Closeness Centrality],"&gt;= "&amp;L17)-COUNTIF(Vertices[Closeness Centrality],"&gt;="&amp;L18)</f>
        <v>27</v>
      </c>
      <c r="N17" s="39">
        <f t="shared" si="6"/>
        <v>0.029187687499999993</v>
      </c>
      <c r="O17" s="40">
        <f>COUNTIF(Vertices[Eigenvector Centrality],"&gt;= "&amp;N17)-COUNTIF(Vertices[Eigenvector Centrality],"&gt;="&amp;N18)</f>
        <v>0</v>
      </c>
      <c r="P17" s="39">
        <f t="shared" si="7"/>
        <v>4.139460124999998</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14</v>
      </c>
      <c r="G18" s="38">
        <f>COUNTIF(Vertices[In-Degree],"&gt;= "&amp;F18)-COUNTIF(Vertices[In-Degree],"&gt;="&amp;F19)</f>
        <v>0</v>
      </c>
      <c r="H18" s="37">
        <f t="shared" si="3"/>
        <v>3.6666666666666656</v>
      </c>
      <c r="I18" s="38">
        <f>COUNTIF(Vertices[Out-Degree],"&gt;= "&amp;H18)-COUNTIF(Vertices[Out-Degree],"&gt;="&amp;H19)</f>
        <v>0</v>
      </c>
      <c r="J18" s="37">
        <f t="shared" si="4"/>
        <v>3389.8829059999994</v>
      </c>
      <c r="K18" s="38">
        <f>COUNTIF(Vertices[Betweenness Centrality],"&gt;= "&amp;J18)-COUNTIF(Vertices[Betweenness Centrality],"&gt;="&amp;J19)</f>
        <v>0</v>
      </c>
      <c r="L18" s="37">
        <f t="shared" si="5"/>
        <v>0.0035646666666666687</v>
      </c>
      <c r="M18" s="38">
        <f>COUNTIF(Vertices[Closeness Centrality],"&gt;= "&amp;L18)-COUNTIF(Vertices[Closeness Centrality],"&gt;="&amp;L19)</f>
        <v>8</v>
      </c>
      <c r="N18" s="37">
        <f t="shared" si="6"/>
        <v>0.03102466666666666</v>
      </c>
      <c r="O18" s="38">
        <f>COUNTIF(Vertices[Eigenvector Centrality],"&gt;= "&amp;N18)-COUNTIF(Vertices[Eigenvector Centrality],"&gt;="&amp;N19)</f>
        <v>0</v>
      </c>
      <c r="P18" s="37">
        <f t="shared" si="7"/>
        <v>4.388343999999997</v>
      </c>
      <c r="Q18" s="38">
        <f>COUNTIF(Vertices[PageRank],"&gt;= "&amp;P18)-COUNTIF(Vertices[PageRank],"&gt;="&amp;P19)</f>
        <v>0</v>
      </c>
      <c r="R18" s="37">
        <f t="shared" si="8"/>
        <v>0.16666666666666663</v>
      </c>
      <c r="S18" s="43">
        <f>COUNTIF(Vertices[Clustering Coefficient],"&gt;= "&amp;R18)-COUNTIF(Vertices[Clustering Coefficient],"&gt;="&amp;R19)</f>
        <v>6</v>
      </c>
      <c r="T18" s="37" t="e">
        <f ca="1" t="shared" si="9"/>
        <v>#REF!</v>
      </c>
      <c r="U18" s="38" t="e">
        <f ca="1" t="shared" si="0"/>
        <v>#REF!</v>
      </c>
    </row>
    <row r="19" spans="1:21" ht="15">
      <c r="A19" s="118"/>
      <c r="B19" s="118"/>
      <c r="D19" s="32">
        <f t="shared" si="1"/>
        <v>0</v>
      </c>
      <c r="E19" s="3">
        <f>COUNTIF(Vertices[Degree],"&gt;= "&amp;D19)-COUNTIF(Vertices[Degree],"&gt;="&amp;D20)</f>
        <v>0</v>
      </c>
      <c r="F19" s="39">
        <f t="shared" si="2"/>
        <v>14.875</v>
      </c>
      <c r="G19" s="40">
        <f>COUNTIF(Vertices[In-Degree],"&gt;= "&amp;F19)-COUNTIF(Vertices[In-Degree],"&gt;="&amp;F20)</f>
        <v>0</v>
      </c>
      <c r="H19" s="39">
        <f t="shared" si="3"/>
        <v>3.895833333333332</v>
      </c>
      <c r="I19" s="40">
        <f>COUNTIF(Vertices[Out-Degree],"&gt;= "&amp;H19)-COUNTIF(Vertices[Out-Degree],"&gt;="&amp;H20)</f>
        <v>4</v>
      </c>
      <c r="J19" s="39">
        <f t="shared" si="4"/>
        <v>3601.7505876249993</v>
      </c>
      <c r="K19" s="40">
        <f>COUNTIF(Vertices[Betweenness Centrality],"&gt;= "&amp;J19)-COUNTIF(Vertices[Betweenness Centrality],"&gt;="&amp;J20)</f>
        <v>0</v>
      </c>
      <c r="L19" s="39">
        <f t="shared" si="5"/>
        <v>0.0036288333333333355</v>
      </c>
      <c r="M19" s="40">
        <f>COUNTIF(Vertices[Closeness Centrality],"&gt;= "&amp;L19)-COUNTIF(Vertices[Closeness Centrality],"&gt;="&amp;L20)</f>
        <v>4</v>
      </c>
      <c r="N19" s="39">
        <f t="shared" si="6"/>
        <v>0.03286164583333333</v>
      </c>
      <c r="O19" s="40">
        <f>COUNTIF(Vertices[Eigenvector Centrality],"&gt;= "&amp;N19)-COUNTIF(Vertices[Eigenvector Centrality],"&gt;="&amp;N20)</f>
        <v>0</v>
      </c>
      <c r="P19" s="39">
        <f t="shared" si="7"/>
        <v>4.637227874999997</v>
      </c>
      <c r="Q19" s="40">
        <f>COUNTIF(Vertices[PageRank],"&gt;= "&amp;P19)-COUNTIF(Vertices[PageRank],"&gt;="&amp;P20)</f>
        <v>2</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152</v>
      </c>
      <c r="B20" s="34">
        <v>1</v>
      </c>
      <c r="D20" s="32">
        <f t="shared" si="1"/>
        <v>0</v>
      </c>
      <c r="E20" s="3">
        <f>COUNTIF(Vertices[Degree],"&gt;= "&amp;D20)-COUNTIF(Vertices[Degree],"&gt;="&amp;D21)</f>
        <v>0</v>
      </c>
      <c r="F20" s="37">
        <f t="shared" si="2"/>
        <v>15.75</v>
      </c>
      <c r="G20" s="38">
        <f>COUNTIF(Vertices[In-Degree],"&gt;= "&amp;F20)-COUNTIF(Vertices[In-Degree],"&gt;="&amp;F21)</f>
        <v>0</v>
      </c>
      <c r="H20" s="37">
        <f t="shared" si="3"/>
        <v>4.124999999999999</v>
      </c>
      <c r="I20" s="38">
        <f>COUNTIF(Vertices[Out-Degree],"&gt;= "&amp;H20)-COUNTIF(Vertices[Out-Degree],"&gt;="&amp;H21)</f>
        <v>0</v>
      </c>
      <c r="J20" s="37">
        <f t="shared" si="4"/>
        <v>3813.6182692499992</v>
      </c>
      <c r="K20" s="38">
        <f>COUNTIF(Vertices[Betweenness Centrality],"&gt;= "&amp;J20)-COUNTIF(Vertices[Betweenness Centrality],"&gt;="&amp;J21)</f>
        <v>0</v>
      </c>
      <c r="L20" s="37">
        <f t="shared" si="5"/>
        <v>0.0036930000000000023</v>
      </c>
      <c r="M20" s="38">
        <f>COUNTIF(Vertices[Closeness Centrality],"&gt;= "&amp;L20)-COUNTIF(Vertices[Closeness Centrality],"&gt;="&amp;L21)</f>
        <v>1</v>
      </c>
      <c r="N20" s="37">
        <f t="shared" si="6"/>
        <v>0.034698625</v>
      </c>
      <c r="O20" s="38">
        <f>COUNTIF(Vertices[Eigenvector Centrality],"&gt;= "&amp;N20)-COUNTIF(Vertices[Eigenvector Centrality],"&gt;="&amp;N21)</f>
        <v>0</v>
      </c>
      <c r="P20" s="37">
        <f t="shared" si="7"/>
        <v>4.886111749999997</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153</v>
      </c>
      <c r="B21" s="34">
        <v>0</v>
      </c>
      <c r="D21" s="32">
        <f t="shared" si="1"/>
        <v>0</v>
      </c>
      <c r="E21" s="3">
        <f>COUNTIF(Vertices[Degree],"&gt;= "&amp;D21)-COUNTIF(Vertices[Degree],"&gt;="&amp;D22)</f>
        <v>0</v>
      </c>
      <c r="F21" s="39">
        <f t="shared" si="2"/>
        <v>16.625</v>
      </c>
      <c r="G21" s="40">
        <f>COUNTIF(Vertices[In-Degree],"&gt;= "&amp;F21)-COUNTIF(Vertices[In-Degree],"&gt;="&amp;F22)</f>
        <v>0</v>
      </c>
      <c r="H21" s="39">
        <f t="shared" si="3"/>
        <v>4.354166666666666</v>
      </c>
      <c r="I21" s="40">
        <f>COUNTIF(Vertices[Out-Degree],"&gt;= "&amp;H21)-COUNTIF(Vertices[Out-Degree],"&gt;="&amp;H22)</f>
        <v>0</v>
      </c>
      <c r="J21" s="39">
        <f t="shared" si="4"/>
        <v>4025.485950874999</v>
      </c>
      <c r="K21" s="40">
        <f>COUNTIF(Vertices[Betweenness Centrality],"&gt;= "&amp;J21)-COUNTIF(Vertices[Betweenness Centrality],"&gt;="&amp;J22)</f>
        <v>0</v>
      </c>
      <c r="L21" s="39">
        <f t="shared" si="5"/>
        <v>0.003757166666666669</v>
      </c>
      <c r="M21" s="40">
        <f>COUNTIF(Vertices[Closeness Centrality],"&gt;= "&amp;L21)-COUNTIF(Vertices[Closeness Centrality],"&gt;="&amp;L22)</f>
        <v>2</v>
      </c>
      <c r="N21" s="39">
        <f t="shared" si="6"/>
        <v>0.036535604166666666</v>
      </c>
      <c r="O21" s="40">
        <f>COUNTIF(Vertices[Eigenvector Centrality],"&gt;= "&amp;N21)-COUNTIF(Vertices[Eigenvector Centrality],"&gt;="&amp;N22)</f>
        <v>0</v>
      </c>
      <c r="P21" s="39">
        <f t="shared" si="7"/>
        <v>5.134995624999997</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154</v>
      </c>
      <c r="B22" s="34">
        <v>111</v>
      </c>
      <c r="D22" s="32">
        <f t="shared" si="1"/>
        <v>0</v>
      </c>
      <c r="E22" s="3">
        <f>COUNTIF(Vertices[Degree],"&gt;= "&amp;D22)-COUNTIF(Vertices[Degree],"&gt;="&amp;D23)</f>
        <v>0</v>
      </c>
      <c r="F22" s="37">
        <f t="shared" si="2"/>
        <v>17.5</v>
      </c>
      <c r="G22" s="38">
        <f>COUNTIF(Vertices[In-Degree],"&gt;= "&amp;F22)-COUNTIF(Vertices[In-Degree],"&gt;="&amp;F23)</f>
        <v>0</v>
      </c>
      <c r="H22" s="37">
        <f t="shared" si="3"/>
        <v>4.583333333333333</v>
      </c>
      <c r="I22" s="38">
        <f>COUNTIF(Vertices[Out-Degree],"&gt;= "&amp;H22)-COUNTIF(Vertices[Out-Degree],"&gt;="&amp;H23)</f>
        <v>0</v>
      </c>
      <c r="J22" s="37">
        <f t="shared" si="4"/>
        <v>4237.3536325</v>
      </c>
      <c r="K22" s="38">
        <f>COUNTIF(Vertices[Betweenness Centrality],"&gt;= "&amp;J22)-COUNTIF(Vertices[Betweenness Centrality],"&gt;="&amp;J23)</f>
        <v>0</v>
      </c>
      <c r="L22" s="37">
        <f t="shared" si="5"/>
        <v>0.003821333333333336</v>
      </c>
      <c r="M22" s="38">
        <f>COUNTIF(Vertices[Closeness Centrality],"&gt;= "&amp;L22)-COUNTIF(Vertices[Closeness Centrality],"&gt;="&amp;L23)</f>
        <v>0</v>
      </c>
      <c r="N22" s="37">
        <f t="shared" si="6"/>
        <v>0.038372583333333335</v>
      </c>
      <c r="O22" s="38">
        <f>COUNTIF(Vertices[Eigenvector Centrality],"&gt;= "&amp;N22)-COUNTIF(Vertices[Eigenvector Centrality],"&gt;="&amp;N23)</f>
        <v>0</v>
      </c>
      <c r="P22" s="37">
        <f t="shared" si="7"/>
        <v>5.383879499999996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155</v>
      </c>
      <c r="B23" s="34">
        <v>196</v>
      </c>
      <c r="D23" s="32">
        <f t="shared" si="1"/>
        <v>0</v>
      </c>
      <c r="E23" s="3">
        <f>COUNTIF(Vertices[Degree],"&gt;= "&amp;D23)-COUNTIF(Vertices[Degree],"&gt;="&amp;D24)</f>
        <v>0</v>
      </c>
      <c r="F23" s="39">
        <f t="shared" si="2"/>
        <v>18.375</v>
      </c>
      <c r="G23" s="40">
        <f>COUNTIF(Vertices[In-Degree],"&gt;= "&amp;F23)-COUNTIF(Vertices[In-Degree],"&gt;="&amp;F24)</f>
        <v>0</v>
      </c>
      <c r="H23" s="39">
        <f t="shared" si="3"/>
        <v>4.8125</v>
      </c>
      <c r="I23" s="40">
        <f>COUNTIF(Vertices[Out-Degree],"&gt;= "&amp;H23)-COUNTIF(Vertices[Out-Degree],"&gt;="&amp;H24)</f>
        <v>1</v>
      </c>
      <c r="J23" s="39">
        <f t="shared" si="4"/>
        <v>4449.2213141249995</v>
      </c>
      <c r="K23" s="40">
        <f>COUNTIF(Vertices[Betweenness Centrality],"&gt;= "&amp;J23)-COUNTIF(Vertices[Betweenness Centrality],"&gt;="&amp;J24)</f>
        <v>0</v>
      </c>
      <c r="L23" s="39">
        <f t="shared" si="5"/>
        <v>0.0038855000000000027</v>
      </c>
      <c r="M23" s="40">
        <f>COUNTIF(Vertices[Closeness Centrality],"&gt;= "&amp;L23)-COUNTIF(Vertices[Closeness Centrality],"&gt;="&amp;L24)</f>
        <v>0</v>
      </c>
      <c r="N23" s="39">
        <f t="shared" si="6"/>
        <v>0.040209562500000004</v>
      </c>
      <c r="O23" s="40">
        <f>COUNTIF(Vertices[Eigenvector Centrality],"&gt;= "&amp;N23)-COUNTIF(Vertices[Eigenvector Centrality],"&gt;="&amp;N24)</f>
        <v>0</v>
      </c>
      <c r="P23" s="39">
        <f t="shared" si="7"/>
        <v>5.632763374999996</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19.25</v>
      </c>
      <c r="G24" s="38">
        <f>COUNTIF(Vertices[In-Degree],"&gt;= "&amp;F24)-COUNTIF(Vertices[In-Degree],"&gt;="&amp;F25)</f>
        <v>0</v>
      </c>
      <c r="H24" s="37">
        <f t="shared" si="3"/>
        <v>5.041666666666667</v>
      </c>
      <c r="I24" s="38">
        <f>COUNTIF(Vertices[Out-Degree],"&gt;= "&amp;H24)-COUNTIF(Vertices[Out-Degree],"&gt;="&amp;H25)</f>
        <v>0</v>
      </c>
      <c r="J24" s="37">
        <f t="shared" si="4"/>
        <v>4661.088995749999</v>
      </c>
      <c r="K24" s="38">
        <f>COUNTIF(Vertices[Betweenness Centrality],"&gt;= "&amp;J24)-COUNTIF(Vertices[Betweenness Centrality],"&gt;="&amp;J25)</f>
        <v>0</v>
      </c>
      <c r="L24" s="37">
        <f t="shared" si="5"/>
        <v>0.003949666666666669</v>
      </c>
      <c r="M24" s="38">
        <f>COUNTIF(Vertices[Closeness Centrality],"&gt;= "&amp;L24)-COUNTIF(Vertices[Closeness Centrality],"&gt;="&amp;L25)</f>
        <v>0</v>
      </c>
      <c r="N24" s="37">
        <f t="shared" si="6"/>
        <v>0.04204654166666667</v>
      </c>
      <c r="O24" s="38">
        <f>COUNTIF(Vertices[Eigenvector Centrality],"&gt;= "&amp;N24)-COUNTIF(Vertices[Eigenvector Centrality],"&gt;="&amp;N25)</f>
        <v>0</v>
      </c>
      <c r="P24" s="37">
        <f t="shared" si="7"/>
        <v>5.881647249999996</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20.125</v>
      </c>
      <c r="G25" s="40">
        <f>COUNTIF(Vertices[In-Degree],"&gt;= "&amp;F25)-COUNTIF(Vertices[In-Degree],"&gt;="&amp;F26)</f>
        <v>0</v>
      </c>
      <c r="H25" s="39">
        <f t="shared" si="3"/>
        <v>5.270833333333334</v>
      </c>
      <c r="I25" s="40">
        <f>COUNTIF(Vertices[Out-Degree],"&gt;= "&amp;H25)-COUNTIF(Vertices[Out-Degree],"&gt;="&amp;H26)</f>
        <v>0</v>
      </c>
      <c r="J25" s="39">
        <f t="shared" si="4"/>
        <v>4872.956677374999</v>
      </c>
      <c r="K25" s="40">
        <f>COUNTIF(Vertices[Betweenness Centrality],"&gt;= "&amp;J25)-COUNTIF(Vertices[Betweenness Centrality],"&gt;="&amp;J26)</f>
        <v>0</v>
      </c>
      <c r="L25" s="39">
        <f t="shared" si="5"/>
        <v>0.004013833333333335</v>
      </c>
      <c r="M25" s="40">
        <f>COUNTIF(Vertices[Closeness Centrality],"&gt;= "&amp;L25)-COUNTIF(Vertices[Closeness Centrality],"&gt;="&amp;L26)</f>
        <v>0</v>
      </c>
      <c r="N25" s="39">
        <f t="shared" si="6"/>
        <v>0.04388352083333334</v>
      </c>
      <c r="O25" s="40">
        <f>COUNTIF(Vertices[Eigenvector Centrality],"&gt;= "&amp;N25)-COUNTIF(Vertices[Eigenvector Centrality],"&gt;="&amp;N26)</f>
        <v>0</v>
      </c>
      <c r="P25" s="39">
        <f t="shared" si="7"/>
        <v>6.130531124999996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157</v>
      </c>
      <c r="B26" s="34">
        <v>3.068907</v>
      </c>
      <c r="D26" s="32">
        <f t="shared" si="1"/>
        <v>0</v>
      </c>
      <c r="E26" s="3">
        <f>COUNTIF(Vertices[Degree],"&gt;= "&amp;D26)-COUNTIF(Vertices[Degree],"&gt;="&amp;D28)</f>
        <v>0</v>
      </c>
      <c r="F26" s="37">
        <f t="shared" si="2"/>
        <v>21</v>
      </c>
      <c r="G26" s="38">
        <f>COUNTIF(Vertices[In-Degree],"&gt;= "&amp;F26)-COUNTIF(Vertices[In-Degree],"&gt;="&amp;F28)</f>
        <v>0</v>
      </c>
      <c r="H26" s="37">
        <f t="shared" si="3"/>
        <v>5.500000000000001</v>
      </c>
      <c r="I26" s="38">
        <f>COUNTIF(Vertices[Out-Degree],"&gt;= "&amp;H26)-COUNTIF(Vertices[Out-Degree],"&gt;="&amp;H28)</f>
        <v>0</v>
      </c>
      <c r="J26" s="37">
        <f t="shared" si="4"/>
        <v>5084.824358999999</v>
      </c>
      <c r="K26" s="38">
        <f>COUNTIF(Vertices[Betweenness Centrality],"&gt;= "&amp;J26)-COUNTIF(Vertices[Betweenness Centrality],"&gt;="&amp;J28)</f>
        <v>0</v>
      </c>
      <c r="L26" s="37">
        <f t="shared" si="5"/>
        <v>0.004078000000000002</v>
      </c>
      <c r="M26" s="38">
        <f>COUNTIF(Vertices[Closeness Centrality],"&gt;= "&amp;L26)-COUNTIF(Vertices[Closeness Centrality],"&gt;="&amp;L28)</f>
        <v>0</v>
      </c>
      <c r="N26" s="37">
        <f t="shared" si="6"/>
        <v>0.04572050000000001</v>
      </c>
      <c r="O26" s="38">
        <f>COUNTIF(Vertices[Eigenvector Centrality],"&gt;= "&amp;N26)-COUNTIF(Vertices[Eigenvector Centrality],"&gt;="&amp;N28)</f>
        <v>0</v>
      </c>
      <c r="P26" s="37">
        <f t="shared" si="7"/>
        <v>6.379414999999995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-2</v>
      </c>
      <c r="T27" s="62"/>
      <c r="U27" s="63">
        <f ca="1">COUNTIF(Vertices[Clustering Coefficient],"&gt;= "&amp;T27)-COUNTIF(Vertices[Clustering Coefficient],"&gt;="&amp;T28)</f>
        <v>0</v>
      </c>
    </row>
    <row r="28" spans="1:21" ht="15">
      <c r="A28" s="34" t="s">
        <v>158</v>
      </c>
      <c r="B28" s="34">
        <v>0.012448812448812449</v>
      </c>
      <c r="D28" s="32">
        <f>D26+($D$50-$D$2)/BinDivisor</f>
        <v>0</v>
      </c>
      <c r="E28" s="3">
        <f>COUNTIF(Vertices[Degree],"&gt;= "&amp;D28)-COUNTIF(Vertices[Degree],"&gt;="&amp;D42)</f>
        <v>0</v>
      </c>
      <c r="F28" s="39">
        <f>F26+($F$50-$F$2)/BinDivisor</f>
        <v>21.875</v>
      </c>
      <c r="G28" s="40">
        <f>COUNTIF(Vertices[In-Degree],"&gt;= "&amp;F28)-COUNTIF(Vertices[In-Degree],"&gt;="&amp;F42)</f>
        <v>0</v>
      </c>
      <c r="H28" s="39">
        <f>H26+($H$50-$H$2)/BinDivisor</f>
        <v>5.729166666666668</v>
      </c>
      <c r="I28" s="40">
        <f>COUNTIF(Vertices[Out-Degree],"&gt;= "&amp;H28)-COUNTIF(Vertices[Out-Degree],"&gt;="&amp;H42)</f>
        <v>0</v>
      </c>
      <c r="J28" s="39">
        <f>J26+($J$50-$J$2)/BinDivisor</f>
        <v>5296.692040624999</v>
      </c>
      <c r="K28" s="40">
        <f>COUNTIF(Vertices[Betweenness Centrality],"&gt;= "&amp;J28)-COUNTIF(Vertices[Betweenness Centrality],"&gt;="&amp;J42)</f>
        <v>0</v>
      </c>
      <c r="L28" s="39">
        <f>L26+($L$50-$L$2)/BinDivisor</f>
        <v>0.004142166666666668</v>
      </c>
      <c r="M28" s="40">
        <f>COUNTIF(Vertices[Closeness Centrality],"&gt;= "&amp;L28)-COUNTIF(Vertices[Closeness Centrality],"&gt;="&amp;L42)</f>
        <v>0</v>
      </c>
      <c r="N28" s="39">
        <f>N26+($N$50-$N$2)/BinDivisor</f>
        <v>0.04755747916666668</v>
      </c>
      <c r="O28" s="40">
        <f>COUNTIF(Vertices[Eigenvector Centrality],"&gt;= "&amp;N28)-COUNTIF(Vertices[Eigenvector Centrality],"&gt;="&amp;N42)</f>
        <v>0</v>
      </c>
      <c r="P28" s="39">
        <f>P26+($P$50-$P$2)/BinDivisor</f>
        <v>6.628298874999995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613</v>
      </c>
      <c r="B29" s="34">
        <v>0.489614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18"/>
      <c r="B30" s="118"/>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614</v>
      </c>
      <c r="B31" s="34" t="s">
        <v>628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8"/>
      <c r="B32" s="118"/>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615</v>
      </c>
      <c r="B33" s="34" t="s">
        <v>1632</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18"/>
      <c r="B34" s="118"/>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616</v>
      </c>
      <c r="B35" s="34" t="s">
        <v>745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617</v>
      </c>
      <c r="B36" s="34" t="s">
        <v>746</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409.5">
      <c r="A37" s="34" t="s">
        <v>618</v>
      </c>
      <c r="B37" s="52" t="s">
        <v>1631</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619</v>
      </c>
      <c r="B38" s="34" t="s">
        <v>747</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-1</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-2</v>
      </c>
      <c r="T38" s="62"/>
      <c r="U38" s="63">
        <f ca="1">COUNTIF(Vertices[Clustering Coefficient],"&gt;= "&amp;T38)-COUNTIF(Vertices[Clustering Coefficient],"&gt;="&amp;T42)</f>
        <v>0</v>
      </c>
    </row>
    <row r="39" spans="1:21" ht="15">
      <c r="A39" s="34" t="s">
        <v>620</v>
      </c>
      <c r="B39" s="34" t="s">
        <v>748</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-1</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-2</v>
      </c>
      <c r="T39" s="62"/>
      <c r="U39" s="63">
        <f ca="1">COUNTIF(Vertices[Clustering Coefficient],"&gt;= "&amp;T39)-COUNTIF(Vertices[Clustering Coefficient],"&gt;="&amp;T42)</f>
        <v>0</v>
      </c>
    </row>
    <row r="40" spans="1:21" ht="15">
      <c r="A40" s="34" t="s">
        <v>621</v>
      </c>
      <c r="B40" s="34" t="s">
        <v>342</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-1</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-2</v>
      </c>
      <c r="T40" s="62"/>
      <c r="U40" s="63">
        <f ca="1">COUNTIF(Vertices[Clustering Coefficient],"&gt;= "&amp;T40)-COUNTIF(Vertices[Clustering Coefficient],"&gt;="&amp;T42)</f>
        <v>0</v>
      </c>
    </row>
    <row r="41" spans="1:21" ht="15">
      <c r="A41" s="34" t="s">
        <v>622</v>
      </c>
      <c r="B41" s="34" t="s">
        <v>342</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-1</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-2</v>
      </c>
      <c r="T41" s="62"/>
      <c r="U41" s="63">
        <f ca="1">COUNTIF(Vertices[Clustering Coefficient],"&gt;= "&amp;T41)-COUNTIF(Vertices[Clustering Coefficient],"&gt;="&amp;T42)</f>
        <v>0</v>
      </c>
    </row>
    <row r="42" spans="1:21" ht="15">
      <c r="A42" s="34" t="s">
        <v>623</v>
      </c>
      <c r="B42" s="34" t="s">
        <v>342</v>
      </c>
      <c r="D42" s="32">
        <f>D28+($D$50-$D$2)/BinDivisor</f>
        <v>0</v>
      </c>
      <c r="E42" s="3">
        <f>COUNTIF(Vertices[Degree],"&gt;= "&amp;D42)-COUNTIF(Vertices[Degree],"&gt;="&amp;D43)</f>
        <v>0</v>
      </c>
      <c r="F42" s="37">
        <f>F28+($F$50-$F$2)/BinDivisor</f>
        <v>22.75</v>
      </c>
      <c r="G42" s="38">
        <f>COUNTIF(Vertices[In-Degree],"&gt;= "&amp;F42)-COUNTIF(Vertices[In-Degree],"&gt;="&amp;F43)</f>
        <v>0</v>
      </c>
      <c r="H42" s="37">
        <f>H28+($H$50-$H$2)/BinDivisor</f>
        <v>5.958333333333335</v>
      </c>
      <c r="I42" s="38">
        <f>COUNTIF(Vertices[Out-Degree],"&gt;= "&amp;H42)-COUNTIF(Vertices[Out-Degree],"&gt;="&amp;H43)</f>
        <v>0</v>
      </c>
      <c r="J42" s="37">
        <f>J28+($J$50-$J$2)/BinDivisor</f>
        <v>5508.559722249999</v>
      </c>
      <c r="K42" s="38">
        <f>COUNTIF(Vertices[Betweenness Centrality],"&gt;= "&amp;J42)-COUNTIF(Vertices[Betweenness Centrality],"&gt;="&amp;J43)</f>
        <v>0</v>
      </c>
      <c r="L42" s="37">
        <f>L28+($L$50-$L$2)/BinDivisor</f>
        <v>0.0042063333333333345</v>
      </c>
      <c r="M42" s="38">
        <f>COUNTIF(Vertices[Closeness Centrality],"&gt;= "&amp;L42)-COUNTIF(Vertices[Closeness Centrality],"&gt;="&amp;L43)</f>
        <v>0</v>
      </c>
      <c r="N42" s="37">
        <f>N28+($N$50-$N$2)/BinDivisor</f>
        <v>0.04939445833333335</v>
      </c>
      <c r="O42" s="38">
        <f>COUNTIF(Vertices[Eigenvector Centrality],"&gt;= "&amp;N42)-COUNTIF(Vertices[Eigenvector Centrality],"&gt;="&amp;N43)</f>
        <v>0</v>
      </c>
      <c r="P42" s="37">
        <f>P28+($P$50-$P$2)/BinDivisor</f>
        <v>6.877182749999995</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624</v>
      </c>
      <c r="B43" s="34"/>
      <c r="D43" s="32">
        <f aca="true" t="shared" si="10" ref="D43:D49">D42+($D$50-$D$2)/BinDivisor</f>
        <v>0</v>
      </c>
      <c r="E43" s="3">
        <f>COUNTIF(Vertices[Degree],"&gt;= "&amp;D43)-COUNTIF(Vertices[Degree],"&gt;="&amp;D44)</f>
        <v>0</v>
      </c>
      <c r="F43" s="39">
        <f aca="true" t="shared" si="11" ref="F43:F49">F42+($F$50-$F$2)/BinDivisor</f>
        <v>23.625</v>
      </c>
      <c r="G43" s="40">
        <f>COUNTIF(Vertices[In-Degree],"&gt;= "&amp;F43)-COUNTIF(Vertices[In-Degree],"&gt;="&amp;F44)</f>
        <v>0</v>
      </c>
      <c r="H43" s="39">
        <f aca="true" t="shared" si="12" ref="H43:H49">H42+($H$50-$H$2)/BinDivisor</f>
        <v>6.187500000000002</v>
      </c>
      <c r="I43" s="40">
        <f>COUNTIF(Vertices[Out-Degree],"&gt;= "&amp;H43)-COUNTIF(Vertices[Out-Degree],"&gt;="&amp;H44)</f>
        <v>0</v>
      </c>
      <c r="J43" s="39">
        <f aca="true" t="shared" si="13" ref="J43:J49">J42+($J$50-$J$2)/BinDivisor</f>
        <v>5720.427403874999</v>
      </c>
      <c r="K43" s="40">
        <f>COUNTIF(Vertices[Betweenness Centrality],"&gt;= "&amp;J43)-COUNTIF(Vertices[Betweenness Centrality],"&gt;="&amp;J44)</f>
        <v>0</v>
      </c>
      <c r="L43" s="39">
        <f aca="true" t="shared" si="14" ref="L43:L49">L42+($L$50-$L$2)/BinDivisor</f>
        <v>0.004270500000000001</v>
      </c>
      <c r="M43" s="40">
        <f>COUNTIF(Vertices[Closeness Centrality],"&gt;= "&amp;L43)-COUNTIF(Vertices[Closeness Centrality],"&gt;="&amp;L44)</f>
        <v>0</v>
      </c>
      <c r="N43" s="39">
        <f aca="true" t="shared" si="15" ref="N43:N49">N42+($N$50-$N$2)/BinDivisor</f>
        <v>0.05123143750000002</v>
      </c>
      <c r="O43" s="40">
        <f>COUNTIF(Vertices[Eigenvector Centrality],"&gt;= "&amp;N43)-COUNTIF(Vertices[Eigenvector Centrality],"&gt;="&amp;N44)</f>
        <v>0</v>
      </c>
      <c r="P43" s="39">
        <f aca="true" t="shared" si="16" ref="P43:P49">P42+($P$50-$P$2)/BinDivisor</f>
        <v>7.126066624999995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21</v>
      </c>
      <c r="B44" s="34"/>
      <c r="D44" s="32">
        <f t="shared" si="10"/>
        <v>0</v>
      </c>
      <c r="E44" s="3">
        <f>COUNTIF(Vertices[Degree],"&gt;= "&amp;D44)-COUNTIF(Vertices[Degree],"&gt;="&amp;D45)</f>
        <v>0</v>
      </c>
      <c r="F44" s="37">
        <f t="shared" si="11"/>
        <v>24.5</v>
      </c>
      <c r="G44" s="38">
        <f>COUNTIF(Vertices[In-Degree],"&gt;= "&amp;F44)-COUNTIF(Vertices[In-Degree],"&gt;="&amp;F45)</f>
        <v>0</v>
      </c>
      <c r="H44" s="37">
        <f t="shared" si="12"/>
        <v>6.416666666666669</v>
      </c>
      <c r="I44" s="38">
        <f>COUNTIF(Vertices[Out-Degree],"&gt;= "&amp;H44)-COUNTIF(Vertices[Out-Degree],"&gt;="&amp;H45)</f>
        <v>0</v>
      </c>
      <c r="J44" s="37">
        <f t="shared" si="13"/>
        <v>5932.295085499999</v>
      </c>
      <c r="K44" s="38">
        <f>COUNTIF(Vertices[Betweenness Centrality],"&gt;= "&amp;J44)-COUNTIF(Vertices[Betweenness Centrality],"&gt;="&amp;J45)</f>
        <v>0</v>
      </c>
      <c r="L44" s="37">
        <f t="shared" si="14"/>
        <v>0.004334666666666667</v>
      </c>
      <c r="M44" s="38">
        <f>COUNTIF(Vertices[Closeness Centrality],"&gt;= "&amp;L44)-COUNTIF(Vertices[Closeness Centrality],"&gt;="&amp;L45)</f>
        <v>0</v>
      </c>
      <c r="N44" s="37">
        <f t="shared" si="15"/>
        <v>0.05306841666666669</v>
      </c>
      <c r="O44" s="38">
        <f>COUNTIF(Vertices[Eigenvector Centrality],"&gt;= "&amp;N44)-COUNTIF(Vertices[Eigenvector Centrality],"&gt;="&amp;N45)</f>
        <v>0</v>
      </c>
      <c r="P44" s="37">
        <f t="shared" si="16"/>
        <v>7.374950499999994</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625</v>
      </c>
      <c r="B45" s="34" t="s">
        <v>32</v>
      </c>
      <c r="D45" s="32">
        <f t="shared" si="10"/>
        <v>0</v>
      </c>
      <c r="E45" s="3">
        <f>COUNTIF(Vertices[Degree],"&gt;= "&amp;D45)-COUNTIF(Vertices[Degree],"&gt;="&amp;D46)</f>
        <v>0</v>
      </c>
      <c r="F45" s="39">
        <f t="shared" si="11"/>
        <v>25.375</v>
      </c>
      <c r="G45" s="40">
        <f>COUNTIF(Vertices[In-Degree],"&gt;= "&amp;F45)-COUNTIF(Vertices[In-Degree],"&gt;="&amp;F46)</f>
        <v>0</v>
      </c>
      <c r="H45" s="39">
        <f t="shared" si="12"/>
        <v>6.645833333333336</v>
      </c>
      <c r="I45" s="40">
        <f>COUNTIF(Vertices[Out-Degree],"&gt;= "&amp;H45)-COUNTIF(Vertices[Out-Degree],"&gt;="&amp;H46)</f>
        <v>0</v>
      </c>
      <c r="J45" s="39">
        <f t="shared" si="13"/>
        <v>6144.162767124999</v>
      </c>
      <c r="K45" s="40">
        <f>COUNTIF(Vertices[Betweenness Centrality],"&gt;= "&amp;J45)-COUNTIF(Vertices[Betweenness Centrality],"&gt;="&amp;J46)</f>
        <v>0</v>
      </c>
      <c r="L45" s="39">
        <f t="shared" si="14"/>
        <v>0.004398833333333334</v>
      </c>
      <c r="M45" s="40">
        <f>COUNTIF(Vertices[Closeness Centrality],"&gt;= "&amp;L45)-COUNTIF(Vertices[Closeness Centrality],"&gt;="&amp;L46)</f>
        <v>0</v>
      </c>
      <c r="N45" s="39">
        <f t="shared" si="15"/>
        <v>0.054905395833333356</v>
      </c>
      <c r="O45" s="40">
        <f>COUNTIF(Vertices[Eigenvector Centrality],"&gt;= "&amp;N45)-COUNTIF(Vertices[Eigenvector Centrality],"&gt;="&amp;N46)</f>
        <v>0</v>
      </c>
      <c r="P45" s="39">
        <f t="shared" si="16"/>
        <v>7.623834374999994</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626</v>
      </c>
      <c r="B46" s="34"/>
      <c r="D46" s="32">
        <f t="shared" si="10"/>
        <v>0</v>
      </c>
      <c r="E46" s="3">
        <f>COUNTIF(Vertices[Degree],"&gt;= "&amp;D46)-COUNTIF(Vertices[Degree],"&gt;="&amp;D47)</f>
        <v>0</v>
      </c>
      <c r="F46" s="37">
        <f t="shared" si="11"/>
        <v>26.25</v>
      </c>
      <c r="G46" s="38">
        <f>COUNTIF(Vertices[In-Degree],"&gt;= "&amp;F46)-COUNTIF(Vertices[In-Degree],"&gt;="&amp;F47)</f>
        <v>0</v>
      </c>
      <c r="H46" s="37">
        <f t="shared" si="12"/>
        <v>6.875000000000003</v>
      </c>
      <c r="I46" s="38">
        <f>COUNTIF(Vertices[Out-Degree],"&gt;= "&amp;H46)-COUNTIF(Vertices[Out-Degree],"&gt;="&amp;H47)</f>
        <v>0</v>
      </c>
      <c r="J46" s="37">
        <f t="shared" si="13"/>
        <v>6356.030448749999</v>
      </c>
      <c r="K46" s="38">
        <f>COUNTIF(Vertices[Betweenness Centrality],"&gt;= "&amp;J46)-COUNTIF(Vertices[Betweenness Centrality],"&gt;="&amp;J47)</f>
        <v>0</v>
      </c>
      <c r="L46" s="37">
        <f t="shared" si="14"/>
        <v>0.004463</v>
      </c>
      <c r="M46" s="38">
        <f>COUNTIF(Vertices[Closeness Centrality],"&gt;= "&amp;L46)-COUNTIF(Vertices[Closeness Centrality],"&gt;="&amp;L47)</f>
        <v>0</v>
      </c>
      <c r="N46" s="37">
        <f t="shared" si="15"/>
        <v>0.056742375000000025</v>
      </c>
      <c r="O46" s="38">
        <f>COUNTIF(Vertices[Eigenvector Centrality],"&gt;= "&amp;N46)-COUNTIF(Vertices[Eigenvector Centrality],"&gt;="&amp;N47)</f>
        <v>0</v>
      </c>
      <c r="P46" s="37">
        <f t="shared" si="16"/>
        <v>7.872718249999994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627</v>
      </c>
      <c r="B47" s="34"/>
      <c r="D47" s="32">
        <f t="shared" si="10"/>
        <v>0</v>
      </c>
      <c r="E47" s="3">
        <f>COUNTIF(Vertices[Degree],"&gt;= "&amp;D47)-COUNTIF(Vertices[Degree],"&gt;="&amp;D48)</f>
        <v>0</v>
      </c>
      <c r="F47" s="39">
        <f t="shared" si="11"/>
        <v>27.125</v>
      </c>
      <c r="G47" s="40">
        <f>COUNTIF(Vertices[In-Degree],"&gt;= "&amp;F47)-COUNTIF(Vertices[In-Degree],"&gt;="&amp;F48)</f>
        <v>0</v>
      </c>
      <c r="H47" s="39">
        <f t="shared" si="12"/>
        <v>7.10416666666667</v>
      </c>
      <c r="I47" s="40">
        <f>COUNTIF(Vertices[Out-Degree],"&gt;= "&amp;H47)-COUNTIF(Vertices[Out-Degree],"&gt;="&amp;H48)</f>
        <v>0</v>
      </c>
      <c r="J47" s="39">
        <f t="shared" si="13"/>
        <v>6567.898130374999</v>
      </c>
      <c r="K47" s="40">
        <f>COUNTIF(Vertices[Betweenness Centrality],"&gt;= "&amp;J47)-COUNTIF(Vertices[Betweenness Centrality],"&gt;="&amp;J48)</f>
        <v>0</v>
      </c>
      <c r="L47" s="39">
        <f t="shared" si="14"/>
        <v>0.004527166666666666</v>
      </c>
      <c r="M47" s="40">
        <f>COUNTIF(Vertices[Closeness Centrality],"&gt;= "&amp;L47)-COUNTIF(Vertices[Closeness Centrality],"&gt;="&amp;L48)</f>
        <v>0</v>
      </c>
      <c r="N47" s="39">
        <f t="shared" si="15"/>
        <v>0.058579354166666694</v>
      </c>
      <c r="O47" s="40">
        <f>COUNTIF(Vertices[Eigenvector Centrality],"&gt;= "&amp;N47)-COUNTIF(Vertices[Eigenvector Centrality],"&gt;="&amp;N48)</f>
        <v>0</v>
      </c>
      <c r="P47" s="39">
        <f t="shared" si="16"/>
        <v>8.121602124999994</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28</v>
      </c>
      <c r="G48" s="38">
        <f>COUNTIF(Vertices[In-Degree],"&gt;= "&amp;F48)-COUNTIF(Vertices[In-Degree],"&gt;="&amp;F49)</f>
        <v>0</v>
      </c>
      <c r="H48" s="37">
        <f t="shared" si="12"/>
        <v>7.333333333333337</v>
      </c>
      <c r="I48" s="38">
        <f>COUNTIF(Vertices[Out-Degree],"&gt;= "&amp;H48)-COUNTIF(Vertices[Out-Degree],"&gt;="&amp;H49)</f>
        <v>0</v>
      </c>
      <c r="J48" s="37">
        <f t="shared" si="13"/>
        <v>6779.765811999999</v>
      </c>
      <c r="K48" s="38">
        <f>COUNTIF(Vertices[Betweenness Centrality],"&gt;= "&amp;J48)-COUNTIF(Vertices[Betweenness Centrality],"&gt;="&amp;J49)</f>
        <v>0</v>
      </c>
      <c r="L48" s="37">
        <f t="shared" si="14"/>
        <v>0.004591333333333333</v>
      </c>
      <c r="M48" s="38">
        <f>COUNTIF(Vertices[Closeness Centrality],"&gt;= "&amp;L48)-COUNTIF(Vertices[Closeness Centrality],"&gt;="&amp;L49)</f>
        <v>0</v>
      </c>
      <c r="N48" s="37">
        <f t="shared" si="15"/>
        <v>0.060416333333333364</v>
      </c>
      <c r="O48" s="38">
        <f>COUNTIF(Vertices[Eigenvector Centrality],"&gt;= "&amp;N48)-COUNTIF(Vertices[Eigenvector Centrality],"&gt;="&amp;N49)</f>
        <v>0</v>
      </c>
      <c r="P48" s="37">
        <f t="shared" si="16"/>
        <v>8.370485999999994</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28.875</v>
      </c>
      <c r="G49" s="40">
        <f>COUNTIF(Vertices[In-Degree],"&gt;= "&amp;F49)-COUNTIF(Vertices[In-Degree],"&gt;="&amp;#REF!)</f>
        <v>1</v>
      </c>
      <c r="H49" s="39">
        <f t="shared" si="12"/>
        <v>7.5625000000000036</v>
      </c>
      <c r="I49" s="40">
        <f>COUNTIF(Vertices[Out-Degree],"&gt;= "&amp;H49)-COUNTIF(Vertices[Out-Degree],"&gt;="&amp;#REF!)</f>
        <v>1</v>
      </c>
      <c r="J49" s="39">
        <f t="shared" si="13"/>
        <v>6991.633493624999</v>
      </c>
      <c r="K49" s="40">
        <f>COUNTIF(Vertices[Betweenness Centrality],"&gt;= "&amp;J49)-COUNTIF(Vertices[Betweenness Centrality],"&gt;="&amp;#REF!)</f>
        <v>1</v>
      </c>
      <c r="L49" s="39">
        <f t="shared" si="14"/>
        <v>0.004655499999999999</v>
      </c>
      <c r="M49" s="40">
        <f>COUNTIF(Vertices[Closeness Centrality],"&gt;= "&amp;L49)-COUNTIF(Vertices[Closeness Centrality],"&gt;="&amp;#REF!)</f>
        <v>1</v>
      </c>
      <c r="N49" s="39">
        <f t="shared" si="15"/>
        <v>0.06225331250000003</v>
      </c>
      <c r="O49" s="40">
        <f>COUNTIF(Vertices[Eigenvector Centrality],"&gt;= "&amp;N49)-COUNTIF(Vertices[Eigenvector Centrality],"&gt;="&amp;#REF!)</f>
        <v>1</v>
      </c>
      <c r="P49" s="39">
        <f t="shared" si="16"/>
        <v>8.619369874999995</v>
      </c>
      <c r="Q49" s="40">
        <f>COUNTIF(Vertices[PageRank],"&gt;= "&amp;P49)-COUNTIF(Vertices[PageRank],"&gt;="&amp;#REF!)</f>
        <v>1</v>
      </c>
      <c r="R49" s="39">
        <f t="shared" si="17"/>
        <v>0.34375000000000006</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42</v>
      </c>
      <c r="G50" s="42">
        <f>COUNTIF(Vertices[In-Degree],"&gt;= "&amp;F50)-COUNTIF(Vertices[In-Degree],"&gt;="&amp;#REF!)</f>
        <v>1</v>
      </c>
      <c r="H50" s="41">
        <f>MAX(Vertices[Out-Degree])</f>
        <v>11</v>
      </c>
      <c r="I50" s="42">
        <f>COUNTIF(Vertices[Out-Degree],"&gt;= "&amp;H50)-COUNTIF(Vertices[Out-Degree],"&gt;="&amp;#REF!)</f>
        <v>1</v>
      </c>
      <c r="J50" s="41">
        <f>MAX(Vertices[Betweenness Centrality])</f>
        <v>10169.648718</v>
      </c>
      <c r="K50" s="42">
        <f>COUNTIF(Vertices[Betweenness Centrality],"&gt;= "&amp;J50)-COUNTIF(Vertices[Betweenness Centrality],"&gt;="&amp;#REF!)</f>
        <v>1</v>
      </c>
      <c r="L50" s="41">
        <f>MAX(Vertices[Closeness Centrality])</f>
        <v>0.005618</v>
      </c>
      <c r="M50" s="42">
        <f>COUNTIF(Vertices[Closeness Centrality],"&gt;= "&amp;L50)-COUNTIF(Vertices[Closeness Centrality],"&gt;="&amp;#REF!)</f>
        <v>1</v>
      </c>
      <c r="N50" s="41">
        <f>MAX(Vertices[Eigenvector Centrality])</f>
        <v>0.089808</v>
      </c>
      <c r="O50" s="42">
        <f>COUNTIF(Vertices[Eigenvector Centrality],"&gt;= "&amp;N50)-COUNTIF(Vertices[Eigenvector Centrality],"&gt;="&amp;#REF!)</f>
        <v>1</v>
      </c>
      <c r="P50" s="41">
        <f>MAX(Vertices[PageRank])</f>
        <v>12.352628</v>
      </c>
      <c r="Q50" s="42">
        <f>COUNTIF(Vertices[PageRank],"&gt;= "&amp;P50)-COUNTIF(Vertices[PageRank],"&gt;="&amp;#REF!)</f>
        <v>1</v>
      </c>
      <c r="R50" s="41">
        <f>MAX(Vertices[Clustering Coefficient])</f>
        <v>0.5</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42</v>
      </c>
    </row>
    <row r="82" spans="1:2" ht="15">
      <c r="A82" s="33" t="s">
        <v>90</v>
      </c>
      <c r="B82" s="47">
        <f>_xlfn.IFERROR(AVERAGE(Vertices[In-Degree]),NoMetricMessage)</f>
        <v>1.4774774774774775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11</v>
      </c>
    </row>
    <row r="96" spans="1:2" ht="15">
      <c r="A96" s="33" t="s">
        <v>96</v>
      </c>
      <c r="B96" s="47">
        <f>_xlfn.IFERROR(AVERAGE(Vertices[Out-Degree]),NoMetricMessage)</f>
        <v>1.4774774774774775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10169.648718</v>
      </c>
    </row>
    <row r="110" spans="1:2" ht="15">
      <c r="A110" s="33" t="s">
        <v>102</v>
      </c>
      <c r="B110" s="47">
        <f>_xlfn.IFERROR(AVERAGE(Vertices[Betweenness Centrality]),NoMetricMessage)</f>
        <v>230.6486486846847</v>
      </c>
    </row>
    <row r="111" spans="1:2" ht="15">
      <c r="A111" s="33" t="s">
        <v>103</v>
      </c>
      <c r="B111" s="47">
        <f>_xlfn.IFERROR(MEDIAN(Vertices[Betweenness Centrality]),NoMetricMessage)</f>
        <v>0</v>
      </c>
    </row>
    <row r="122" spans="1:2" ht="15">
      <c r="A122" s="33" t="s">
        <v>106</v>
      </c>
      <c r="B122" s="47">
        <f>IF(COUNT(Vertices[Closeness Centrality])&gt;0,L2,NoMetricMessage)</f>
        <v>0.002538</v>
      </c>
    </row>
    <row r="123" spans="1:2" ht="15">
      <c r="A123" s="33" t="s">
        <v>107</v>
      </c>
      <c r="B123" s="47">
        <f>IF(COUNT(Vertices[Closeness Centrality])&gt;0,L50,NoMetricMessage)</f>
        <v>0.005618</v>
      </c>
    </row>
    <row r="124" spans="1:2" ht="15">
      <c r="A124" s="33" t="s">
        <v>108</v>
      </c>
      <c r="B124" s="47">
        <f>_xlfn.IFERROR(AVERAGE(Vertices[Closeness Centrality]),NoMetricMessage)</f>
        <v>0.003012981981981981</v>
      </c>
    </row>
    <row r="125" spans="1:2" ht="15">
      <c r="A125" s="33" t="s">
        <v>109</v>
      </c>
      <c r="B125" s="47">
        <f>_xlfn.IFERROR(MEDIAN(Vertices[Closeness Centrality]),NoMetricMessage)</f>
        <v>0.002688</v>
      </c>
    </row>
    <row r="136" spans="1:2" ht="15">
      <c r="A136" s="33" t="s">
        <v>112</v>
      </c>
      <c r="B136" s="47">
        <f>IF(COUNT(Vertices[Eigenvector Centrality])&gt;0,N2,NoMetricMessage)</f>
        <v>0.001633</v>
      </c>
    </row>
    <row r="137" spans="1:2" ht="15">
      <c r="A137" s="33" t="s">
        <v>113</v>
      </c>
      <c r="B137" s="47">
        <f>IF(COUNT(Vertices[Eigenvector Centrality])&gt;0,N50,NoMetricMessage)</f>
        <v>0.089808</v>
      </c>
    </row>
    <row r="138" spans="1:2" ht="15">
      <c r="A138" s="33" t="s">
        <v>114</v>
      </c>
      <c r="B138" s="47">
        <f>_xlfn.IFERROR(AVERAGE(Vertices[Eigenvector Centrality]),NoMetricMessage)</f>
        <v>0.009009000000000005</v>
      </c>
    </row>
    <row r="139" spans="1:2" ht="15">
      <c r="A139" s="33" t="s">
        <v>115</v>
      </c>
      <c r="B139" s="47">
        <f>_xlfn.IFERROR(MEDIAN(Vertices[Eigenvector Centrality]),NoMetricMessage)</f>
        <v>0.004032</v>
      </c>
    </row>
    <row r="150" spans="1:2" ht="15">
      <c r="A150" s="33" t="s">
        <v>140</v>
      </c>
      <c r="B150" s="47">
        <f>IF(COUNT(Vertices[PageRank])&gt;0,P2,NoMetricMessage)</f>
        <v>0.406202</v>
      </c>
    </row>
    <row r="151" spans="1:2" ht="15">
      <c r="A151" s="33" t="s">
        <v>141</v>
      </c>
      <c r="B151" s="47">
        <f>IF(COUNT(Vertices[PageRank])&gt;0,P50,NoMetricMessage)</f>
        <v>12.352628</v>
      </c>
    </row>
    <row r="152" spans="1:2" ht="15">
      <c r="A152" s="33" t="s">
        <v>142</v>
      </c>
      <c r="B152" s="47">
        <f>_xlfn.IFERROR(AVERAGE(Vertices[PageRank]),NoMetricMessage)</f>
        <v>0.9999949279279287</v>
      </c>
    </row>
    <row r="153" spans="1:2" ht="15">
      <c r="A153" s="33" t="s">
        <v>143</v>
      </c>
      <c r="B153" s="47">
        <f>_xlfn.IFERROR(MEDIAN(Vertices[PageRank]),NoMetricMessage)</f>
        <v>0.654679</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0.021324138397309126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409.5">
      <c r="A6">
        <v>0</v>
      </c>
      <c r="B6" s="1" t="s">
        <v>136</v>
      </c>
      <c r="C6">
        <v>1</v>
      </c>
      <c r="D6" t="s">
        <v>59</v>
      </c>
      <c r="E6" t="s">
        <v>59</v>
      </c>
      <c r="F6">
        <v>0</v>
      </c>
      <c r="H6" t="s">
        <v>71</v>
      </c>
      <c r="J6" t="s">
        <v>173</v>
      </c>
      <c r="K6" s="13" t="s">
        <v>749</v>
      </c>
      <c r="R6" t="s">
        <v>129</v>
      </c>
    </row>
    <row r="7" spans="1:11" ht="409.5">
      <c r="A7">
        <v>2</v>
      </c>
      <c r="B7">
        <v>1</v>
      </c>
      <c r="C7">
        <v>0</v>
      </c>
      <c r="D7" t="s">
        <v>60</v>
      </c>
      <c r="E7" t="s">
        <v>60</v>
      </c>
      <c r="F7">
        <v>2</v>
      </c>
      <c r="H7" t="s">
        <v>72</v>
      </c>
      <c r="J7" t="s">
        <v>174</v>
      </c>
      <c r="K7" s="13" t="s">
        <v>750</v>
      </c>
    </row>
    <row r="8" spans="1:11" ht="409.5">
      <c r="A8"/>
      <c r="B8">
        <v>2</v>
      </c>
      <c r="C8">
        <v>2</v>
      </c>
      <c r="D8" t="s">
        <v>61</v>
      </c>
      <c r="E8" t="s">
        <v>61</v>
      </c>
      <c r="H8" t="s">
        <v>73</v>
      </c>
      <c r="J8" t="s">
        <v>175</v>
      </c>
      <c r="K8" s="13" t="s">
        <v>751</v>
      </c>
    </row>
    <row r="9" spans="1:11" ht="409.5">
      <c r="A9"/>
      <c r="B9">
        <v>3</v>
      </c>
      <c r="C9">
        <v>4</v>
      </c>
      <c r="D9" t="s">
        <v>62</v>
      </c>
      <c r="E9" t="s">
        <v>62</v>
      </c>
      <c r="H9" t="s">
        <v>74</v>
      </c>
      <c r="J9" t="s">
        <v>176</v>
      </c>
      <c r="K9" s="65" t="s">
        <v>752</v>
      </c>
    </row>
    <row r="10" spans="1:11" ht="15">
      <c r="A10"/>
      <c r="B10">
        <v>4</v>
      </c>
      <c r="D10" t="s">
        <v>63</v>
      </c>
      <c r="E10" t="s">
        <v>63</v>
      </c>
      <c r="H10" t="s">
        <v>75</v>
      </c>
      <c r="J10" t="s">
        <v>177</v>
      </c>
      <c r="K10" t="s">
        <v>753</v>
      </c>
    </row>
    <row r="11" spans="1:11" ht="15">
      <c r="A11"/>
      <c r="B11">
        <v>5</v>
      </c>
      <c r="D11" t="s">
        <v>46</v>
      </c>
      <c r="E11">
        <v>1</v>
      </c>
      <c r="H11" t="s">
        <v>76</v>
      </c>
      <c r="J11" t="s">
        <v>178</v>
      </c>
      <c r="K11" t="s">
        <v>754</v>
      </c>
    </row>
    <row r="12" spans="1:11" ht="15">
      <c r="A12"/>
      <c r="B12"/>
      <c r="D12" t="s">
        <v>64</v>
      </c>
      <c r="E12">
        <v>2</v>
      </c>
      <c r="H12">
        <v>0</v>
      </c>
      <c r="J12" t="s">
        <v>179</v>
      </c>
      <c r="K12" t="s">
        <v>755</v>
      </c>
    </row>
    <row r="13" spans="1:11" ht="15">
      <c r="A13"/>
      <c r="B13"/>
      <c r="D13">
        <v>1</v>
      </c>
      <c r="E13">
        <v>3</v>
      </c>
      <c r="H13">
        <v>1</v>
      </c>
      <c r="J13" t="s">
        <v>180</v>
      </c>
      <c r="K13" t="s">
        <v>756</v>
      </c>
    </row>
    <row r="14" spans="4:11" ht="15">
      <c r="D14">
        <v>2</v>
      </c>
      <c r="E14">
        <v>4</v>
      </c>
      <c r="H14">
        <v>2</v>
      </c>
      <c r="J14" t="s">
        <v>181</v>
      </c>
      <c r="K14" t="s">
        <v>757</v>
      </c>
    </row>
    <row r="15" spans="4:11" ht="15">
      <c r="D15">
        <v>3</v>
      </c>
      <c r="E15">
        <v>5</v>
      </c>
      <c r="H15">
        <v>3</v>
      </c>
      <c r="J15" t="s">
        <v>182</v>
      </c>
      <c r="K15" t="s">
        <v>758</v>
      </c>
    </row>
    <row r="16" spans="4:11" ht="15">
      <c r="D16">
        <v>4</v>
      </c>
      <c r="E16">
        <v>6</v>
      </c>
      <c r="H16">
        <v>4</v>
      </c>
      <c r="J16" t="s">
        <v>183</v>
      </c>
      <c r="K16" t="s">
        <v>759</v>
      </c>
    </row>
    <row r="17" spans="4:11" ht="15">
      <c r="D17">
        <v>5</v>
      </c>
      <c r="E17">
        <v>7</v>
      </c>
      <c r="H17">
        <v>5</v>
      </c>
      <c r="J17" t="s">
        <v>184</v>
      </c>
      <c r="K17" t="s">
        <v>760</v>
      </c>
    </row>
    <row r="18" spans="4:11" ht="15">
      <c r="D18">
        <v>6</v>
      </c>
      <c r="E18">
        <v>8</v>
      </c>
      <c r="H18">
        <v>6</v>
      </c>
      <c r="J18" t="s">
        <v>185</v>
      </c>
      <c r="K18" t="s">
        <v>761</v>
      </c>
    </row>
    <row r="19" spans="4:11" ht="15">
      <c r="D19">
        <v>7</v>
      </c>
      <c r="E19">
        <v>9</v>
      </c>
      <c r="H19">
        <v>7</v>
      </c>
      <c r="J19" t="s">
        <v>186</v>
      </c>
      <c r="K19" t="s">
        <v>762</v>
      </c>
    </row>
    <row r="20" spans="4:11" ht="15">
      <c r="D20">
        <v>8</v>
      </c>
      <c r="H20">
        <v>8</v>
      </c>
      <c r="J20" t="s">
        <v>187</v>
      </c>
      <c r="K20" t="s">
        <v>763</v>
      </c>
    </row>
    <row r="21" spans="4:11" ht="409.5">
      <c r="D21">
        <v>9</v>
      </c>
      <c r="H21">
        <v>9</v>
      </c>
      <c r="J21" t="s">
        <v>188</v>
      </c>
      <c r="K21" s="13" t="s">
        <v>764</v>
      </c>
    </row>
    <row r="22" spans="4:11" ht="409.5">
      <c r="D22">
        <v>10</v>
      </c>
      <c r="J22" t="s">
        <v>189</v>
      </c>
      <c r="K22" s="13" t="s">
        <v>765</v>
      </c>
    </row>
    <row r="23" spans="4:11" ht="409.5">
      <c r="D23">
        <v>11</v>
      </c>
      <c r="J23" t="s">
        <v>190</v>
      </c>
      <c r="K23" s="13" t="s">
        <v>1633</v>
      </c>
    </row>
    <row r="24" spans="10:11" ht="15">
      <c r="J24" t="s">
        <v>191</v>
      </c>
      <c r="K24" t="s">
        <v>248</v>
      </c>
    </row>
    <row r="25" spans="10:11" ht="15">
      <c r="J25" t="s">
        <v>192</v>
      </c>
      <c r="K25" t="s">
        <v>249</v>
      </c>
    </row>
    <row r="26" spans="10:11" ht="15">
      <c r="J26" t="s">
        <v>193</v>
      </c>
      <c r="K26" t="s">
        <v>250</v>
      </c>
    </row>
    <row r="27" spans="10:11" ht="15">
      <c r="J27" t="s">
        <v>194</v>
      </c>
      <c r="K27" t="s">
        <v>251</v>
      </c>
    </row>
    <row r="28" spans="10:11" ht="15">
      <c r="J28" t="s">
        <v>195</v>
      </c>
      <c r="K28" t="s">
        <v>252</v>
      </c>
    </row>
    <row r="29" spans="10:11" ht="15">
      <c r="J29" t="s">
        <v>196</v>
      </c>
      <c r="K29" t="s">
        <v>253</v>
      </c>
    </row>
    <row r="30" spans="10:11" ht="15">
      <c r="J30" t="s">
        <v>197</v>
      </c>
      <c r="K30" t="s">
        <v>254</v>
      </c>
    </row>
    <row r="31" spans="10:11" ht="15">
      <c r="J31" t="s">
        <v>198</v>
      </c>
      <c r="K31" t="s">
        <v>255</v>
      </c>
    </row>
    <row r="32" spans="10:11" ht="15">
      <c r="J32" t="s">
        <v>199</v>
      </c>
      <c r="K32" t="s">
        <v>256</v>
      </c>
    </row>
    <row r="33" spans="10:11" ht="15">
      <c r="J33" t="s">
        <v>200</v>
      </c>
      <c r="K33" t="s">
        <v>257</v>
      </c>
    </row>
    <row r="34" spans="10:11" ht="15">
      <c r="J34" t="s">
        <v>201</v>
      </c>
      <c r="K34" t="s">
        <v>258</v>
      </c>
    </row>
    <row r="35" spans="10:11" ht="15">
      <c r="J35" t="s">
        <v>202</v>
      </c>
      <c r="K35" t="s">
        <v>259</v>
      </c>
    </row>
    <row r="36" spans="10:11" ht="15">
      <c r="J36" t="s">
        <v>203</v>
      </c>
      <c r="K36" t="s">
        <v>260</v>
      </c>
    </row>
    <row r="37" spans="10:11" ht="15">
      <c r="J37" t="s">
        <v>204</v>
      </c>
      <c r="K37" t="s">
        <v>261</v>
      </c>
    </row>
    <row r="38" spans="10:11" ht="15">
      <c r="J38" t="s">
        <v>205</v>
      </c>
      <c r="K38" t="s">
        <v>262</v>
      </c>
    </row>
    <row r="39" spans="10:11" ht="15">
      <c r="J39" t="s">
        <v>206</v>
      </c>
      <c r="K39" t="s">
        <v>263</v>
      </c>
    </row>
    <row r="40" spans="10:11" ht="15">
      <c r="J40" t="s">
        <v>207</v>
      </c>
      <c r="K40" t="s">
        <v>264</v>
      </c>
    </row>
    <row r="41" spans="10:11" ht="15">
      <c r="J41" t="s">
        <v>208</v>
      </c>
      <c r="K41" t="s">
        <v>265</v>
      </c>
    </row>
    <row r="42" spans="10:11" ht="15">
      <c r="J42" t="s">
        <v>209</v>
      </c>
      <c r="K42" t="s">
        <v>266</v>
      </c>
    </row>
    <row r="43" spans="10:11" ht="15">
      <c r="J43" t="s">
        <v>210</v>
      </c>
      <c r="K43" t="s">
        <v>267</v>
      </c>
    </row>
    <row r="44" spans="10:11" ht="15">
      <c r="J44" t="s">
        <v>211</v>
      </c>
      <c r="K44" t="s">
        <v>268</v>
      </c>
    </row>
    <row r="45" spans="10:11" ht="15">
      <c r="J45" t="s">
        <v>212</v>
      </c>
      <c r="K45" t="s">
        <v>269</v>
      </c>
    </row>
    <row r="46" spans="10:11" ht="15">
      <c r="J46" t="s">
        <v>213</v>
      </c>
      <c r="K46" t="s">
        <v>270</v>
      </c>
    </row>
    <row r="47" spans="10:11" ht="15">
      <c r="J47" t="s">
        <v>214</v>
      </c>
      <c r="K47" t="s">
        <v>271</v>
      </c>
    </row>
    <row r="48" spans="10:11" ht="15">
      <c r="J48" t="s">
        <v>215</v>
      </c>
      <c r="K48" t="s">
        <v>272</v>
      </c>
    </row>
    <row r="49" spans="10:11" ht="15">
      <c r="J49" t="s">
        <v>216</v>
      </c>
      <c r="K49" t="s">
        <v>273</v>
      </c>
    </row>
    <row r="50" spans="10:11" ht="15">
      <c r="J50" t="s">
        <v>217</v>
      </c>
      <c r="K50" t="s">
        <v>274</v>
      </c>
    </row>
    <row r="51" spans="10:11" ht="15">
      <c r="J51" t="s">
        <v>218</v>
      </c>
      <c r="K51" t="s">
        <v>275</v>
      </c>
    </row>
    <row r="52" spans="10:11" ht="15">
      <c r="J52" t="s">
        <v>219</v>
      </c>
      <c r="K52" t="s">
        <v>276</v>
      </c>
    </row>
    <row r="53" spans="10:11" ht="15">
      <c r="J53" t="s">
        <v>220</v>
      </c>
      <c r="K53" t="s">
        <v>277</v>
      </c>
    </row>
    <row r="54" spans="10:11" ht="15">
      <c r="J54" t="s">
        <v>221</v>
      </c>
      <c r="K54" t="s">
        <v>278</v>
      </c>
    </row>
    <row r="55" spans="10:11" ht="15">
      <c r="J55" t="s">
        <v>222</v>
      </c>
      <c r="K55" t="s">
        <v>279</v>
      </c>
    </row>
    <row r="56" spans="10:11" ht="15">
      <c r="J56" t="s">
        <v>223</v>
      </c>
      <c r="K56" t="s">
        <v>280</v>
      </c>
    </row>
    <row r="57" spans="10:11" ht="15">
      <c r="J57" t="s">
        <v>224</v>
      </c>
      <c r="K57" t="s">
        <v>281</v>
      </c>
    </row>
    <row r="58" spans="10:11" ht="15">
      <c r="J58" t="s">
        <v>225</v>
      </c>
      <c r="K58" t="s">
        <v>282</v>
      </c>
    </row>
    <row r="59" spans="10:11" ht="15">
      <c r="J59" t="s">
        <v>226</v>
      </c>
      <c r="K59" t="s">
        <v>283</v>
      </c>
    </row>
    <row r="60" spans="10:11" ht="15">
      <c r="J60" t="s">
        <v>227</v>
      </c>
      <c r="K60" t="s">
        <v>284</v>
      </c>
    </row>
    <row r="61" spans="10:11" ht="15">
      <c r="J61" t="s">
        <v>228</v>
      </c>
      <c r="K61" t="s">
        <v>285</v>
      </c>
    </row>
    <row r="62" spans="10:11" ht="15">
      <c r="J62" t="s">
        <v>229</v>
      </c>
      <c r="K62" t="s">
        <v>286</v>
      </c>
    </row>
    <row r="63" spans="10:11" ht="15">
      <c r="J63" t="s">
        <v>230</v>
      </c>
      <c r="K63" t="s">
        <v>287</v>
      </c>
    </row>
    <row r="64" spans="10:11" ht="15">
      <c r="J64" t="s">
        <v>231</v>
      </c>
      <c r="K64" t="s">
        <v>288</v>
      </c>
    </row>
    <row r="65" spans="10:11" ht="15">
      <c r="J65" t="s">
        <v>232</v>
      </c>
      <c r="K65" t="s">
        <v>289</v>
      </c>
    </row>
    <row r="66" spans="10:11" ht="15">
      <c r="J66" t="s">
        <v>233</v>
      </c>
      <c r="K66" t="s">
        <v>290</v>
      </c>
    </row>
    <row r="67" spans="10:11" ht="15">
      <c r="J67" t="s">
        <v>234</v>
      </c>
      <c r="K67" t="s">
        <v>291</v>
      </c>
    </row>
    <row r="68" spans="10:11" ht="15">
      <c r="J68" t="s">
        <v>235</v>
      </c>
      <c r="K68" t="s">
        <v>292</v>
      </c>
    </row>
    <row r="69" spans="10:11" ht="15">
      <c r="J69" t="s">
        <v>236</v>
      </c>
      <c r="K69" t="s">
        <v>293</v>
      </c>
    </row>
    <row r="70" spans="10:11" ht="15">
      <c r="J70" t="s">
        <v>237</v>
      </c>
      <c r="K70" t="s">
        <v>294</v>
      </c>
    </row>
    <row r="71" spans="10:11" ht="15">
      <c r="J71" t="s">
        <v>238</v>
      </c>
      <c r="K71" t="s">
        <v>295</v>
      </c>
    </row>
    <row r="72" spans="10:11" ht="15">
      <c r="J72" t="s">
        <v>239</v>
      </c>
      <c r="K72" t="s">
        <v>296</v>
      </c>
    </row>
    <row r="73" spans="10:11" ht="15">
      <c r="J73" t="s">
        <v>240</v>
      </c>
      <c r="K73" t="s">
        <v>297</v>
      </c>
    </row>
    <row r="74" spans="10:11" ht="15">
      <c r="J74" t="s">
        <v>241</v>
      </c>
      <c r="K74" t="s">
        <v>298</v>
      </c>
    </row>
    <row r="75" spans="10:11" ht="409.5">
      <c r="J75" t="s">
        <v>242</v>
      </c>
      <c r="K75" s="13" t="s">
        <v>299</v>
      </c>
    </row>
    <row r="76" spans="10:11" ht="409.5">
      <c r="J76" t="s">
        <v>243</v>
      </c>
      <c r="K76" s="13" t="s">
        <v>300</v>
      </c>
    </row>
    <row r="77" spans="10:11" ht="409.5">
      <c r="J77" t="s">
        <v>244</v>
      </c>
      <c r="K77" s="13" t="s">
        <v>301</v>
      </c>
    </row>
    <row r="78" spans="10:11" ht="409.5">
      <c r="J78" t="s">
        <v>245</v>
      </c>
      <c r="K78" s="13" t="s">
        <v>302</v>
      </c>
    </row>
    <row r="79" spans="10:11" ht="15">
      <c r="J79" t="s">
        <v>246</v>
      </c>
      <c r="K79">
        <v>19</v>
      </c>
    </row>
    <row r="80" spans="10:11" ht="15">
      <c r="J80" t="s">
        <v>304</v>
      </c>
      <c r="K80" t="s">
        <v>1629</v>
      </c>
    </row>
    <row r="81" spans="10:11" ht="409.5">
      <c r="J81" t="s">
        <v>305</v>
      </c>
      <c r="K81" s="13" t="s">
        <v>1630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C867D-2C4B-44D2-BA4E-1E96DE42731B}">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364</v>
      </c>
      <c r="B1" s="13" t="s">
        <v>579</v>
      </c>
      <c r="C1" s="13" t="s">
        <v>583</v>
      </c>
      <c r="D1" s="13" t="s">
        <v>144</v>
      </c>
      <c r="E1" s="13" t="s">
        <v>585</v>
      </c>
      <c r="F1" s="13" t="s">
        <v>586</v>
      </c>
      <c r="G1" s="13" t="s">
        <v>587</v>
      </c>
    </row>
    <row r="2" spans="1:7" ht="15">
      <c r="A2" s="89" t="s">
        <v>365</v>
      </c>
      <c r="B2" s="89" t="s">
        <v>580</v>
      </c>
      <c r="C2" s="113"/>
      <c r="D2" s="89"/>
      <c r="E2" s="89"/>
      <c r="F2" s="89"/>
      <c r="G2" s="89"/>
    </row>
    <row r="3" spans="1:7" ht="15">
      <c r="A3" s="89" t="s">
        <v>366</v>
      </c>
      <c r="B3" s="89" t="s">
        <v>581</v>
      </c>
      <c r="C3" s="113"/>
      <c r="D3" s="89"/>
      <c r="E3" s="89"/>
      <c r="F3" s="89"/>
      <c r="G3" s="89"/>
    </row>
    <row r="4" spans="1:7" ht="15">
      <c r="A4" s="89" t="s">
        <v>367</v>
      </c>
      <c r="B4" s="89" t="s">
        <v>582</v>
      </c>
      <c r="C4" s="113"/>
      <c r="D4" s="89"/>
      <c r="E4" s="89"/>
      <c r="F4" s="89"/>
      <c r="G4" s="89"/>
    </row>
    <row r="5" spans="1:7" ht="15">
      <c r="A5" s="89" t="s">
        <v>368</v>
      </c>
      <c r="B5" s="89">
        <v>164</v>
      </c>
      <c r="C5" s="113">
        <v>0.030671404525902377</v>
      </c>
      <c r="D5" s="89"/>
      <c r="E5" s="89"/>
      <c r="F5" s="89"/>
      <c r="G5" s="89"/>
    </row>
    <row r="6" spans="1:7" ht="15">
      <c r="A6" s="89" t="s">
        <v>369</v>
      </c>
      <c r="B6" s="89">
        <v>192</v>
      </c>
      <c r="C6" s="113">
        <v>0.03590798578642229</v>
      </c>
      <c r="D6" s="89"/>
      <c r="E6" s="89"/>
      <c r="F6" s="89"/>
      <c r="G6" s="89"/>
    </row>
    <row r="7" spans="1:7" ht="15">
      <c r="A7" s="89" t="s">
        <v>370</v>
      </c>
      <c r="B7" s="89">
        <v>0</v>
      </c>
      <c r="C7" s="113">
        <v>0</v>
      </c>
      <c r="D7" s="89"/>
      <c r="E7" s="89"/>
      <c r="F7" s="89"/>
      <c r="G7" s="89"/>
    </row>
    <row r="8" spans="1:7" ht="15">
      <c r="A8" s="89" t="s">
        <v>371</v>
      </c>
      <c r="B8" s="89">
        <v>4991</v>
      </c>
      <c r="C8" s="113">
        <v>0.9334206096876753</v>
      </c>
      <c r="D8" s="89"/>
      <c r="E8" s="89"/>
      <c r="F8" s="89"/>
      <c r="G8" s="89"/>
    </row>
    <row r="9" spans="1:7" ht="15">
      <c r="A9" s="89" t="s">
        <v>372</v>
      </c>
      <c r="B9" s="89">
        <v>5347</v>
      </c>
      <c r="C9" s="113">
        <v>1</v>
      </c>
      <c r="D9" s="89"/>
      <c r="E9" s="89"/>
      <c r="F9" s="89"/>
      <c r="G9" s="89"/>
    </row>
    <row r="10" spans="1:7" ht="15">
      <c r="A10" s="112" t="s">
        <v>373</v>
      </c>
      <c r="B10" s="112">
        <v>44</v>
      </c>
      <c r="C10" s="114">
        <v>0.019304610605435823</v>
      </c>
      <c r="D10" s="112" t="s">
        <v>584</v>
      </c>
      <c r="E10" s="112" t="b">
        <v>0</v>
      </c>
      <c r="F10" s="112" t="b">
        <v>0</v>
      </c>
      <c r="G10" s="112" t="b">
        <v>0</v>
      </c>
    </row>
    <row r="11" spans="1:7" ht="15">
      <c r="A11" s="112" t="s">
        <v>416</v>
      </c>
      <c r="B11" s="112">
        <v>21</v>
      </c>
      <c r="C11" s="114">
        <v>0.013178118721286955</v>
      </c>
      <c r="D11" s="112" t="s">
        <v>584</v>
      </c>
      <c r="E11" s="112" t="b">
        <v>0</v>
      </c>
      <c r="F11" s="112" t="b">
        <v>0</v>
      </c>
      <c r="G11" s="112" t="b">
        <v>0</v>
      </c>
    </row>
    <row r="12" spans="1:7" ht="15">
      <c r="A12" s="112" t="s">
        <v>374</v>
      </c>
      <c r="B12" s="112">
        <v>15</v>
      </c>
      <c r="C12" s="114">
        <v>0.010193016600775427</v>
      </c>
      <c r="D12" s="112" t="s">
        <v>584</v>
      </c>
      <c r="E12" s="112" t="b">
        <v>0</v>
      </c>
      <c r="F12" s="112" t="b">
        <v>0</v>
      </c>
      <c r="G12" s="112" t="b">
        <v>0</v>
      </c>
    </row>
    <row r="13" spans="1:7" ht="15">
      <c r="A13" s="112" t="s">
        <v>499</v>
      </c>
      <c r="B13" s="112">
        <v>14</v>
      </c>
      <c r="C13" s="114">
        <v>0.00925362889244252</v>
      </c>
      <c r="D13" s="112" t="s">
        <v>584</v>
      </c>
      <c r="E13" s="112" t="b">
        <v>0</v>
      </c>
      <c r="F13" s="112" t="b">
        <v>0</v>
      </c>
      <c r="G13" s="112" t="b">
        <v>0</v>
      </c>
    </row>
    <row r="14" spans="1:7" ht="15">
      <c r="A14" s="112" t="s">
        <v>380</v>
      </c>
      <c r="B14" s="112">
        <v>14</v>
      </c>
      <c r="C14" s="114">
        <v>0.010099243025822095</v>
      </c>
      <c r="D14" s="112" t="s">
        <v>584</v>
      </c>
      <c r="E14" s="112" t="b">
        <v>0</v>
      </c>
      <c r="F14" s="112" t="b">
        <v>0</v>
      </c>
      <c r="G14" s="112" t="b">
        <v>0</v>
      </c>
    </row>
    <row r="15" spans="1:7" ht="15">
      <c r="A15" s="112" t="s">
        <v>471</v>
      </c>
      <c r="B15" s="112">
        <v>11</v>
      </c>
      <c r="C15" s="114">
        <v>0.008197702874810402</v>
      </c>
      <c r="D15" s="112" t="s">
        <v>584</v>
      </c>
      <c r="E15" s="112" t="b">
        <v>0</v>
      </c>
      <c r="F15" s="112" t="b">
        <v>0</v>
      </c>
      <c r="G15" s="112" t="b">
        <v>0</v>
      </c>
    </row>
    <row r="16" spans="1:7" ht="15">
      <c r="A16" s="112" t="s">
        <v>403</v>
      </c>
      <c r="B16" s="112">
        <v>11</v>
      </c>
      <c r="C16" s="114">
        <v>0.007935119520288789</v>
      </c>
      <c r="D16" s="112" t="s">
        <v>584</v>
      </c>
      <c r="E16" s="112" t="b">
        <v>0</v>
      </c>
      <c r="F16" s="112" t="b">
        <v>0</v>
      </c>
      <c r="G16" s="112" t="b">
        <v>0</v>
      </c>
    </row>
    <row r="17" spans="1:7" ht="15">
      <c r="A17" s="112" t="s">
        <v>573</v>
      </c>
      <c r="B17" s="112">
        <v>10</v>
      </c>
      <c r="C17" s="114">
        <v>0.007716341187526824</v>
      </c>
      <c r="D17" s="112" t="s">
        <v>584</v>
      </c>
      <c r="E17" s="112" t="b">
        <v>0</v>
      </c>
      <c r="F17" s="112" t="b">
        <v>0</v>
      </c>
      <c r="G17" s="112" t="b">
        <v>0</v>
      </c>
    </row>
    <row r="18" spans="1:7" ht="15">
      <c r="A18" s="112" t="s">
        <v>493</v>
      </c>
      <c r="B18" s="112">
        <v>10</v>
      </c>
      <c r="C18" s="114">
        <v>0.008011338433474811</v>
      </c>
      <c r="D18" s="112" t="s">
        <v>584</v>
      </c>
      <c r="E18" s="112" t="b">
        <v>0</v>
      </c>
      <c r="F18" s="112" t="b">
        <v>0</v>
      </c>
      <c r="G18" s="112" t="b">
        <v>0</v>
      </c>
    </row>
    <row r="19" spans="1:7" ht="15">
      <c r="A19" s="112" t="s">
        <v>379</v>
      </c>
      <c r="B19" s="112">
        <v>10</v>
      </c>
      <c r="C19" s="114">
        <v>0.008011338433474811</v>
      </c>
      <c r="D19" s="112" t="s">
        <v>584</v>
      </c>
      <c r="E19" s="112" t="b">
        <v>0</v>
      </c>
      <c r="F19" s="112" t="b">
        <v>0</v>
      </c>
      <c r="G19" s="112" t="b">
        <v>0</v>
      </c>
    </row>
    <row r="20" spans="1:7" ht="15">
      <c r="A20" s="112" t="s">
        <v>487</v>
      </c>
      <c r="B20" s="112">
        <v>9</v>
      </c>
      <c r="C20" s="114">
        <v>0.00721020459012733</v>
      </c>
      <c r="D20" s="112" t="s">
        <v>584</v>
      </c>
      <c r="E20" s="112" t="b">
        <v>0</v>
      </c>
      <c r="F20" s="112" t="b">
        <v>0</v>
      </c>
      <c r="G20" s="112" t="b">
        <v>0</v>
      </c>
    </row>
    <row r="21" spans="1:7" ht="15">
      <c r="A21" s="112" t="s">
        <v>569</v>
      </c>
      <c r="B21" s="112">
        <v>9</v>
      </c>
      <c r="C21" s="114">
        <v>0.007858675541381482</v>
      </c>
      <c r="D21" s="112" t="s">
        <v>584</v>
      </c>
      <c r="E21" s="112" t="b">
        <v>0</v>
      </c>
      <c r="F21" s="112" t="b">
        <v>0</v>
      </c>
      <c r="G21" s="112" t="b">
        <v>0</v>
      </c>
    </row>
    <row r="22" spans="1:7" ht="15">
      <c r="A22" s="112" t="s">
        <v>393</v>
      </c>
      <c r="B22" s="112">
        <v>8</v>
      </c>
      <c r="C22" s="114">
        <v>0.006985489370116874</v>
      </c>
      <c r="D22" s="112" t="s">
        <v>584</v>
      </c>
      <c r="E22" s="112" t="b">
        <v>0</v>
      </c>
      <c r="F22" s="112" t="b">
        <v>0</v>
      </c>
      <c r="G22" s="112" t="b">
        <v>0</v>
      </c>
    </row>
    <row r="23" spans="1:7" ht="15">
      <c r="A23" s="112" t="s">
        <v>417</v>
      </c>
      <c r="B23" s="112">
        <v>8</v>
      </c>
      <c r="C23" s="114">
        <v>0.00640907074677985</v>
      </c>
      <c r="D23" s="112" t="s">
        <v>584</v>
      </c>
      <c r="E23" s="112" t="b">
        <v>0</v>
      </c>
      <c r="F23" s="112" t="b">
        <v>0</v>
      </c>
      <c r="G23" s="112" t="b">
        <v>0</v>
      </c>
    </row>
    <row r="24" spans="1:7" ht="15">
      <c r="A24" s="112" t="s">
        <v>378</v>
      </c>
      <c r="B24" s="112">
        <v>8</v>
      </c>
      <c r="C24" s="114">
        <v>0.00640907074677985</v>
      </c>
      <c r="D24" s="112" t="s">
        <v>584</v>
      </c>
      <c r="E24" s="112" t="b">
        <v>0</v>
      </c>
      <c r="F24" s="112" t="b">
        <v>0</v>
      </c>
      <c r="G24" s="112" t="b">
        <v>0</v>
      </c>
    </row>
    <row r="25" spans="1:7" ht="15">
      <c r="A25" s="112" t="s">
        <v>1250</v>
      </c>
      <c r="B25" s="112">
        <v>8</v>
      </c>
      <c r="C25" s="114">
        <v>0.00640907074677985</v>
      </c>
      <c r="D25" s="112" t="s">
        <v>584</v>
      </c>
      <c r="E25" s="112" t="b">
        <v>0</v>
      </c>
      <c r="F25" s="112" t="b">
        <v>0</v>
      </c>
      <c r="G25" s="112" t="b">
        <v>0</v>
      </c>
    </row>
    <row r="26" spans="1:7" ht="15">
      <c r="A26" s="112" t="s">
        <v>1251</v>
      </c>
      <c r="B26" s="112">
        <v>8</v>
      </c>
      <c r="C26" s="114">
        <v>0.00640907074677985</v>
      </c>
      <c r="D26" s="112" t="s">
        <v>584</v>
      </c>
      <c r="E26" s="112" t="b">
        <v>0</v>
      </c>
      <c r="F26" s="112" t="b">
        <v>0</v>
      </c>
      <c r="G26" s="112" t="b">
        <v>0</v>
      </c>
    </row>
    <row r="27" spans="1:7" ht="15">
      <c r="A27" s="112" t="s">
        <v>413</v>
      </c>
      <c r="B27" s="112">
        <v>7</v>
      </c>
      <c r="C27" s="114">
        <v>0.005842045109224645</v>
      </c>
      <c r="D27" s="112" t="s">
        <v>584</v>
      </c>
      <c r="E27" s="112" t="b">
        <v>0</v>
      </c>
      <c r="F27" s="112" t="b">
        <v>0</v>
      </c>
      <c r="G27" s="112" t="b">
        <v>0</v>
      </c>
    </row>
    <row r="28" spans="1:7" ht="15">
      <c r="A28" s="112" t="s">
        <v>375</v>
      </c>
      <c r="B28" s="112">
        <v>7</v>
      </c>
      <c r="C28" s="114">
        <v>0.006112303198852264</v>
      </c>
      <c r="D28" s="112" t="s">
        <v>584</v>
      </c>
      <c r="E28" s="112" t="b">
        <v>0</v>
      </c>
      <c r="F28" s="112" t="b">
        <v>0</v>
      </c>
      <c r="G28" s="112" t="b">
        <v>0</v>
      </c>
    </row>
    <row r="29" spans="1:7" ht="15">
      <c r="A29" s="112" t="s">
        <v>398</v>
      </c>
      <c r="B29" s="112">
        <v>7</v>
      </c>
      <c r="C29" s="114">
        <v>0.005842045109224645</v>
      </c>
      <c r="D29" s="112" t="s">
        <v>584</v>
      </c>
      <c r="E29" s="112" t="b">
        <v>0</v>
      </c>
      <c r="F29" s="112" t="b">
        <v>0</v>
      </c>
      <c r="G29" s="112" t="b">
        <v>0</v>
      </c>
    </row>
    <row r="30" spans="1:7" ht="15">
      <c r="A30" s="112" t="s">
        <v>1252</v>
      </c>
      <c r="B30" s="112">
        <v>6</v>
      </c>
      <c r="C30" s="114">
        <v>0.007931681907807875</v>
      </c>
      <c r="D30" s="112" t="s">
        <v>584</v>
      </c>
      <c r="E30" s="112" t="b">
        <v>0</v>
      </c>
      <c r="F30" s="112" t="b">
        <v>0</v>
      </c>
      <c r="G30" s="112" t="b">
        <v>0</v>
      </c>
    </row>
    <row r="31" spans="1:7" ht="15">
      <c r="A31" s="112" t="s">
        <v>534</v>
      </c>
      <c r="B31" s="112">
        <v>6</v>
      </c>
      <c r="C31" s="114">
        <v>0.005513100577925458</v>
      </c>
      <c r="D31" s="112" t="s">
        <v>584</v>
      </c>
      <c r="E31" s="112" t="b">
        <v>0</v>
      </c>
      <c r="F31" s="112" t="b">
        <v>0</v>
      </c>
      <c r="G31" s="112" t="b">
        <v>0</v>
      </c>
    </row>
    <row r="32" spans="1:7" ht="15">
      <c r="A32" s="112" t="s">
        <v>434</v>
      </c>
      <c r="B32" s="112">
        <v>6</v>
      </c>
      <c r="C32" s="114">
        <v>0.005239117027587655</v>
      </c>
      <c r="D32" s="112" t="s">
        <v>584</v>
      </c>
      <c r="E32" s="112" t="b">
        <v>0</v>
      </c>
      <c r="F32" s="112" t="b">
        <v>0</v>
      </c>
      <c r="G32" s="112" t="b">
        <v>0</v>
      </c>
    </row>
    <row r="33" spans="1:7" ht="15">
      <c r="A33" s="112" t="s">
        <v>399</v>
      </c>
      <c r="B33" s="112">
        <v>6</v>
      </c>
      <c r="C33" s="114">
        <v>0.005848429342659217</v>
      </c>
      <c r="D33" s="112" t="s">
        <v>584</v>
      </c>
      <c r="E33" s="112" t="b">
        <v>0</v>
      </c>
      <c r="F33" s="112" t="b">
        <v>0</v>
      </c>
      <c r="G33" s="112" t="b">
        <v>0</v>
      </c>
    </row>
    <row r="34" spans="1:7" ht="15">
      <c r="A34" s="112" t="s">
        <v>405</v>
      </c>
      <c r="B34" s="112">
        <v>6</v>
      </c>
      <c r="C34" s="114">
        <v>0.005239117027587655</v>
      </c>
      <c r="D34" s="112" t="s">
        <v>584</v>
      </c>
      <c r="E34" s="112" t="b">
        <v>0</v>
      </c>
      <c r="F34" s="112" t="b">
        <v>0</v>
      </c>
      <c r="G34" s="112" t="b">
        <v>0</v>
      </c>
    </row>
    <row r="35" spans="1:7" ht="15">
      <c r="A35" s="112" t="s">
        <v>553</v>
      </c>
      <c r="B35" s="112">
        <v>6</v>
      </c>
      <c r="C35" s="114">
        <v>0.005239117027587655</v>
      </c>
      <c r="D35" s="112" t="s">
        <v>584</v>
      </c>
      <c r="E35" s="112" t="b">
        <v>0</v>
      </c>
      <c r="F35" s="112" t="b">
        <v>0</v>
      </c>
      <c r="G35" s="112" t="b">
        <v>0</v>
      </c>
    </row>
    <row r="36" spans="1:7" ht="15">
      <c r="A36" s="112" t="s">
        <v>1253</v>
      </c>
      <c r="B36" s="112">
        <v>6</v>
      </c>
      <c r="C36" s="114">
        <v>0.005848429342659217</v>
      </c>
      <c r="D36" s="112" t="s">
        <v>584</v>
      </c>
      <c r="E36" s="112" t="b">
        <v>0</v>
      </c>
      <c r="F36" s="112" t="b">
        <v>0</v>
      </c>
      <c r="G36" s="112" t="b">
        <v>0</v>
      </c>
    </row>
    <row r="37" spans="1:7" ht="15">
      <c r="A37" s="112" t="s">
        <v>510</v>
      </c>
      <c r="B37" s="112">
        <v>6</v>
      </c>
      <c r="C37" s="114">
        <v>0.005513100577925458</v>
      </c>
      <c r="D37" s="112" t="s">
        <v>584</v>
      </c>
      <c r="E37" s="112" t="b">
        <v>0</v>
      </c>
      <c r="F37" s="112" t="b">
        <v>0</v>
      </c>
      <c r="G37" s="112" t="b">
        <v>0</v>
      </c>
    </row>
    <row r="38" spans="1:7" ht="15">
      <c r="A38" s="112" t="s">
        <v>440</v>
      </c>
      <c r="B38" s="112">
        <v>6</v>
      </c>
      <c r="C38" s="114">
        <v>0.005513100577925458</v>
      </c>
      <c r="D38" s="112" t="s">
        <v>584</v>
      </c>
      <c r="E38" s="112" t="b">
        <v>0</v>
      </c>
      <c r="F38" s="112" t="b">
        <v>0</v>
      </c>
      <c r="G38" s="112" t="b">
        <v>0</v>
      </c>
    </row>
    <row r="39" spans="1:7" ht="15">
      <c r="A39" s="112" t="s">
        <v>562</v>
      </c>
      <c r="B39" s="112">
        <v>5</v>
      </c>
      <c r="C39" s="114">
        <v>0.004594250481604548</v>
      </c>
      <c r="D39" s="112" t="s">
        <v>584</v>
      </c>
      <c r="E39" s="112" t="b">
        <v>0</v>
      </c>
      <c r="F39" s="112" t="b">
        <v>0</v>
      </c>
      <c r="G39" s="112" t="b">
        <v>0</v>
      </c>
    </row>
    <row r="40" spans="1:7" ht="15">
      <c r="A40" s="112" t="s">
        <v>406</v>
      </c>
      <c r="B40" s="112">
        <v>5</v>
      </c>
      <c r="C40" s="114">
        <v>0.004594250481604548</v>
      </c>
      <c r="D40" s="112" t="s">
        <v>584</v>
      </c>
      <c r="E40" s="112" t="b">
        <v>0</v>
      </c>
      <c r="F40" s="112" t="b">
        <v>0</v>
      </c>
      <c r="G40" s="112" t="b">
        <v>0</v>
      </c>
    </row>
    <row r="41" spans="1:7" ht="15">
      <c r="A41" s="112" t="s">
        <v>482</v>
      </c>
      <c r="B41" s="112">
        <v>5</v>
      </c>
      <c r="C41" s="114">
        <v>0.004594250481604548</v>
      </c>
      <c r="D41" s="112" t="s">
        <v>584</v>
      </c>
      <c r="E41" s="112" t="b">
        <v>0</v>
      </c>
      <c r="F41" s="112" t="b">
        <v>0</v>
      </c>
      <c r="G41" s="112" t="b">
        <v>0</v>
      </c>
    </row>
    <row r="42" spans="1:7" ht="15">
      <c r="A42" s="112" t="s">
        <v>1254</v>
      </c>
      <c r="B42" s="112">
        <v>5</v>
      </c>
      <c r="C42" s="114">
        <v>0.004594250481604548</v>
      </c>
      <c r="D42" s="112" t="s">
        <v>584</v>
      </c>
      <c r="E42" s="112" t="b">
        <v>0</v>
      </c>
      <c r="F42" s="112" t="b">
        <v>0</v>
      </c>
      <c r="G42" s="112" t="b">
        <v>0</v>
      </c>
    </row>
    <row r="43" spans="1:7" ht="15">
      <c r="A43" s="112" t="s">
        <v>387</v>
      </c>
      <c r="B43" s="112">
        <v>5</v>
      </c>
      <c r="C43" s="114">
        <v>0.004594250481604548</v>
      </c>
      <c r="D43" s="112" t="s">
        <v>584</v>
      </c>
      <c r="E43" s="112" t="b">
        <v>0</v>
      </c>
      <c r="F43" s="112" t="b">
        <v>0</v>
      </c>
      <c r="G43" s="112" t="b">
        <v>0</v>
      </c>
    </row>
    <row r="44" spans="1:7" ht="15">
      <c r="A44" s="112" t="s">
        <v>392</v>
      </c>
      <c r="B44" s="112">
        <v>5</v>
      </c>
      <c r="C44" s="114">
        <v>0.004873691118882681</v>
      </c>
      <c r="D44" s="112" t="s">
        <v>584</v>
      </c>
      <c r="E44" s="112" t="b">
        <v>0</v>
      </c>
      <c r="F44" s="112" t="b">
        <v>0</v>
      </c>
      <c r="G44" s="112" t="b">
        <v>0</v>
      </c>
    </row>
    <row r="45" spans="1:7" ht="15">
      <c r="A45" s="112" t="s">
        <v>535</v>
      </c>
      <c r="B45" s="112">
        <v>5</v>
      </c>
      <c r="C45" s="114">
        <v>0.004594250481604548</v>
      </c>
      <c r="D45" s="112" t="s">
        <v>584</v>
      </c>
      <c r="E45" s="112" t="b">
        <v>0</v>
      </c>
      <c r="F45" s="112" t="b">
        <v>0</v>
      </c>
      <c r="G45" s="112" t="b">
        <v>0</v>
      </c>
    </row>
    <row r="46" spans="1:7" ht="15">
      <c r="A46" s="112" t="s">
        <v>425</v>
      </c>
      <c r="B46" s="112">
        <v>5</v>
      </c>
      <c r="C46" s="114">
        <v>0.004594250481604548</v>
      </c>
      <c r="D46" s="112" t="s">
        <v>584</v>
      </c>
      <c r="E46" s="112" t="b">
        <v>0</v>
      </c>
      <c r="F46" s="112" t="b">
        <v>1</v>
      </c>
      <c r="G46" s="112" t="b">
        <v>0</v>
      </c>
    </row>
    <row r="47" spans="1:7" ht="15">
      <c r="A47" s="112" t="s">
        <v>1255</v>
      </c>
      <c r="B47" s="112">
        <v>5</v>
      </c>
      <c r="C47" s="114">
        <v>0.005741713021027955</v>
      </c>
      <c r="D47" s="112" t="s">
        <v>584</v>
      </c>
      <c r="E47" s="112" t="b">
        <v>0</v>
      </c>
      <c r="F47" s="112" t="b">
        <v>0</v>
      </c>
      <c r="G47" s="112" t="b">
        <v>0</v>
      </c>
    </row>
    <row r="48" spans="1:7" ht="15">
      <c r="A48" s="112" t="s">
        <v>385</v>
      </c>
      <c r="B48" s="112">
        <v>5</v>
      </c>
      <c r="C48" s="114">
        <v>0.004873691118882681</v>
      </c>
      <c r="D48" s="112" t="s">
        <v>584</v>
      </c>
      <c r="E48" s="112" t="b">
        <v>0</v>
      </c>
      <c r="F48" s="112" t="b">
        <v>0</v>
      </c>
      <c r="G48" s="112" t="b">
        <v>0</v>
      </c>
    </row>
    <row r="49" spans="1:7" ht="15">
      <c r="A49" s="112" t="s">
        <v>490</v>
      </c>
      <c r="B49" s="112">
        <v>5</v>
      </c>
      <c r="C49" s="114">
        <v>0.004873691118882681</v>
      </c>
      <c r="D49" s="112" t="s">
        <v>584</v>
      </c>
      <c r="E49" s="112" t="b">
        <v>0</v>
      </c>
      <c r="F49" s="112" t="b">
        <v>0</v>
      </c>
      <c r="G49" s="112" t="b">
        <v>0</v>
      </c>
    </row>
    <row r="50" spans="1:7" ht="15">
      <c r="A50" s="112" t="s">
        <v>383</v>
      </c>
      <c r="B50" s="112">
        <v>5</v>
      </c>
      <c r="C50" s="114">
        <v>0.00523395275846832</v>
      </c>
      <c r="D50" s="112" t="s">
        <v>584</v>
      </c>
      <c r="E50" s="112" t="b">
        <v>0</v>
      </c>
      <c r="F50" s="112" t="b">
        <v>0</v>
      </c>
      <c r="G50" s="112" t="b">
        <v>0</v>
      </c>
    </row>
    <row r="51" spans="1:7" ht="15">
      <c r="A51" s="112" t="s">
        <v>457</v>
      </c>
      <c r="B51" s="112">
        <v>5</v>
      </c>
      <c r="C51" s="114">
        <v>0.004594250481604548</v>
      </c>
      <c r="D51" s="112" t="s">
        <v>584</v>
      </c>
      <c r="E51" s="112" t="b">
        <v>0</v>
      </c>
      <c r="F51" s="112" t="b">
        <v>0</v>
      </c>
      <c r="G51" s="112" t="b">
        <v>0</v>
      </c>
    </row>
    <row r="52" spans="1:7" ht="15">
      <c r="A52" s="112" t="s">
        <v>452</v>
      </c>
      <c r="B52" s="112">
        <v>5</v>
      </c>
      <c r="C52" s="114">
        <v>0.004594250481604548</v>
      </c>
      <c r="D52" s="112" t="s">
        <v>584</v>
      </c>
      <c r="E52" s="112" t="b">
        <v>0</v>
      </c>
      <c r="F52" s="112" t="b">
        <v>0</v>
      </c>
      <c r="G52" s="112" t="b">
        <v>0</v>
      </c>
    </row>
    <row r="53" spans="1:7" ht="15">
      <c r="A53" s="112" t="s">
        <v>570</v>
      </c>
      <c r="B53" s="112">
        <v>4</v>
      </c>
      <c r="C53" s="114">
        <v>0.004593370416822364</v>
      </c>
      <c r="D53" s="112" t="s">
        <v>584</v>
      </c>
      <c r="E53" s="112" t="b">
        <v>0</v>
      </c>
      <c r="F53" s="112" t="b">
        <v>0</v>
      </c>
      <c r="G53" s="112" t="b">
        <v>0</v>
      </c>
    </row>
    <row r="54" spans="1:7" ht="15">
      <c r="A54" s="112" t="s">
        <v>1256</v>
      </c>
      <c r="B54" s="112">
        <v>4</v>
      </c>
      <c r="C54" s="114">
        <v>0.004593370416822364</v>
      </c>
      <c r="D54" s="112" t="s">
        <v>584</v>
      </c>
      <c r="E54" s="112" t="b">
        <v>1</v>
      </c>
      <c r="F54" s="112" t="b">
        <v>0</v>
      </c>
      <c r="G54" s="112" t="b">
        <v>0</v>
      </c>
    </row>
    <row r="55" spans="1:7" ht="15">
      <c r="A55" s="112" t="s">
        <v>486</v>
      </c>
      <c r="B55" s="112">
        <v>4</v>
      </c>
      <c r="C55" s="114">
        <v>0.004187162206774657</v>
      </c>
      <c r="D55" s="112" t="s">
        <v>584</v>
      </c>
      <c r="E55" s="112" t="b">
        <v>0</v>
      </c>
      <c r="F55" s="112" t="b">
        <v>0</v>
      </c>
      <c r="G55" s="112" t="b">
        <v>0</v>
      </c>
    </row>
    <row r="56" spans="1:7" ht="15">
      <c r="A56" s="112" t="s">
        <v>437</v>
      </c>
      <c r="B56" s="112">
        <v>4</v>
      </c>
      <c r="C56" s="114">
        <v>0.004187162206774657</v>
      </c>
      <c r="D56" s="112" t="s">
        <v>584</v>
      </c>
      <c r="E56" s="112" t="b">
        <v>0</v>
      </c>
      <c r="F56" s="112" t="b">
        <v>0</v>
      </c>
      <c r="G56" s="112" t="b">
        <v>0</v>
      </c>
    </row>
    <row r="57" spans="1:7" ht="15">
      <c r="A57" s="112" t="s">
        <v>495</v>
      </c>
      <c r="B57" s="112">
        <v>4</v>
      </c>
      <c r="C57" s="114">
        <v>0.004187162206774657</v>
      </c>
      <c r="D57" s="112" t="s">
        <v>584</v>
      </c>
      <c r="E57" s="112" t="b">
        <v>0</v>
      </c>
      <c r="F57" s="112" t="b">
        <v>0</v>
      </c>
      <c r="G57" s="112" t="b">
        <v>0</v>
      </c>
    </row>
    <row r="58" spans="1:7" ht="15">
      <c r="A58" s="112" t="s">
        <v>384</v>
      </c>
      <c r="B58" s="112">
        <v>4</v>
      </c>
      <c r="C58" s="114">
        <v>0.004593370416822364</v>
      </c>
      <c r="D58" s="112" t="s">
        <v>584</v>
      </c>
      <c r="E58" s="112" t="b">
        <v>0</v>
      </c>
      <c r="F58" s="112" t="b">
        <v>0</v>
      </c>
      <c r="G58" s="112" t="b">
        <v>0</v>
      </c>
    </row>
    <row r="59" spans="1:7" ht="15">
      <c r="A59" s="112" t="s">
        <v>558</v>
      </c>
      <c r="B59" s="112">
        <v>4</v>
      </c>
      <c r="C59" s="114">
        <v>0.004187162206774657</v>
      </c>
      <c r="D59" s="112" t="s">
        <v>584</v>
      </c>
      <c r="E59" s="112" t="b">
        <v>0</v>
      </c>
      <c r="F59" s="112" t="b">
        <v>0</v>
      </c>
      <c r="G59" s="112" t="b">
        <v>0</v>
      </c>
    </row>
    <row r="60" spans="1:7" ht="15">
      <c r="A60" s="112" t="s">
        <v>410</v>
      </c>
      <c r="B60" s="112">
        <v>4</v>
      </c>
      <c r="C60" s="114">
        <v>0.0038989528951061444</v>
      </c>
      <c r="D60" s="112" t="s">
        <v>584</v>
      </c>
      <c r="E60" s="112" t="b">
        <v>0</v>
      </c>
      <c r="F60" s="112" t="b">
        <v>0</v>
      </c>
      <c r="G60" s="112" t="b">
        <v>0</v>
      </c>
    </row>
    <row r="61" spans="1:7" ht="15">
      <c r="A61" s="112" t="s">
        <v>574</v>
      </c>
      <c r="B61" s="112">
        <v>4</v>
      </c>
      <c r="C61" s="114">
        <v>0.0038989528951061444</v>
      </c>
      <c r="D61" s="112" t="s">
        <v>584</v>
      </c>
      <c r="E61" s="112" t="b">
        <v>0</v>
      </c>
      <c r="F61" s="112" t="b">
        <v>0</v>
      </c>
      <c r="G61" s="112" t="b">
        <v>0</v>
      </c>
    </row>
    <row r="62" spans="1:7" ht="15">
      <c r="A62" s="112" t="s">
        <v>538</v>
      </c>
      <c r="B62" s="112">
        <v>4</v>
      </c>
      <c r="C62" s="114">
        <v>0.0038989528951061444</v>
      </c>
      <c r="D62" s="112" t="s">
        <v>584</v>
      </c>
      <c r="E62" s="112" t="b">
        <v>0</v>
      </c>
      <c r="F62" s="112" t="b">
        <v>0</v>
      </c>
      <c r="G62" s="112" t="b">
        <v>0</v>
      </c>
    </row>
    <row r="63" spans="1:7" ht="15">
      <c r="A63" s="112" t="s">
        <v>389</v>
      </c>
      <c r="B63" s="112">
        <v>4</v>
      </c>
      <c r="C63" s="114">
        <v>0.0038989528951061444</v>
      </c>
      <c r="D63" s="112" t="s">
        <v>584</v>
      </c>
      <c r="E63" s="112" t="b">
        <v>0</v>
      </c>
      <c r="F63" s="112" t="b">
        <v>1</v>
      </c>
      <c r="G63" s="112" t="b">
        <v>0</v>
      </c>
    </row>
    <row r="64" spans="1:7" ht="15">
      <c r="A64" s="112" t="s">
        <v>544</v>
      </c>
      <c r="B64" s="112">
        <v>4</v>
      </c>
      <c r="C64" s="114">
        <v>0.0038989528951061444</v>
      </c>
      <c r="D64" s="112" t="s">
        <v>584</v>
      </c>
      <c r="E64" s="112" t="b">
        <v>0</v>
      </c>
      <c r="F64" s="112" t="b">
        <v>1</v>
      </c>
      <c r="G64" s="112" t="b">
        <v>0</v>
      </c>
    </row>
    <row r="65" spans="1:7" ht="15">
      <c r="A65" s="112" t="s">
        <v>575</v>
      </c>
      <c r="B65" s="112">
        <v>4</v>
      </c>
      <c r="C65" s="114">
        <v>0.0038989528951061444</v>
      </c>
      <c r="D65" s="112" t="s">
        <v>584</v>
      </c>
      <c r="E65" s="112" t="b">
        <v>0</v>
      </c>
      <c r="F65" s="112" t="b">
        <v>1</v>
      </c>
      <c r="G65" s="112" t="b">
        <v>0</v>
      </c>
    </row>
    <row r="66" spans="1:7" ht="15">
      <c r="A66" s="112" t="s">
        <v>451</v>
      </c>
      <c r="B66" s="112">
        <v>4</v>
      </c>
      <c r="C66" s="114">
        <v>0.004187162206774657</v>
      </c>
      <c r="D66" s="112" t="s">
        <v>584</v>
      </c>
      <c r="E66" s="112" t="b">
        <v>0</v>
      </c>
      <c r="F66" s="112" t="b">
        <v>0</v>
      </c>
      <c r="G66" s="112" t="b">
        <v>0</v>
      </c>
    </row>
    <row r="67" spans="1:7" ht="15">
      <c r="A67" s="112" t="s">
        <v>1257</v>
      </c>
      <c r="B67" s="112">
        <v>4</v>
      </c>
      <c r="C67" s="114">
        <v>0.004187162206774657</v>
      </c>
      <c r="D67" s="112" t="s">
        <v>584</v>
      </c>
      <c r="E67" s="112" t="b">
        <v>0</v>
      </c>
      <c r="F67" s="112" t="b">
        <v>1</v>
      </c>
      <c r="G67" s="112" t="b">
        <v>0</v>
      </c>
    </row>
    <row r="68" spans="1:7" ht="15">
      <c r="A68" s="112" t="s">
        <v>523</v>
      </c>
      <c r="B68" s="112">
        <v>4</v>
      </c>
      <c r="C68" s="114">
        <v>0.004187162206774657</v>
      </c>
      <c r="D68" s="112" t="s">
        <v>584</v>
      </c>
      <c r="E68" s="112" t="b">
        <v>0</v>
      </c>
      <c r="F68" s="112" t="b">
        <v>1</v>
      </c>
      <c r="G68" s="112" t="b">
        <v>0</v>
      </c>
    </row>
    <row r="69" spans="1:7" ht="15">
      <c r="A69" s="112" t="s">
        <v>504</v>
      </c>
      <c r="B69" s="112">
        <v>4</v>
      </c>
      <c r="C69" s="114">
        <v>0.004187162206774657</v>
      </c>
      <c r="D69" s="112" t="s">
        <v>584</v>
      </c>
      <c r="E69" s="112" t="b">
        <v>0</v>
      </c>
      <c r="F69" s="112" t="b">
        <v>0</v>
      </c>
      <c r="G69" s="112" t="b">
        <v>0</v>
      </c>
    </row>
    <row r="70" spans="1:7" ht="15">
      <c r="A70" s="112" t="s">
        <v>531</v>
      </c>
      <c r="B70" s="112">
        <v>4</v>
      </c>
      <c r="C70" s="114">
        <v>0.0038989528951061444</v>
      </c>
      <c r="D70" s="112" t="s">
        <v>584</v>
      </c>
      <c r="E70" s="112" t="b">
        <v>0</v>
      </c>
      <c r="F70" s="112" t="b">
        <v>0</v>
      </c>
      <c r="G70" s="112" t="b">
        <v>0</v>
      </c>
    </row>
    <row r="71" spans="1:7" ht="15">
      <c r="A71" s="112" t="s">
        <v>1258</v>
      </c>
      <c r="B71" s="112">
        <v>4</v>
      </c>
      <c r="C71" s="114">
        <v>0.0038989528951061444</v>
      </c>
      <c r="D71" s="112" t="s">
        <v>584</v>
      </c>
      <c r="E71" s="112" t="b">
        <v>0</v>
      </c>
      <c r="F71" s="112" t="b">
        <v>0</v>
      </c>
      <c r="G71" s="112" t="b">
        <v>0</v>
      </c>
    </row>
    <row r="72" spans="1:7" ht="15">
      <c r="A72" s="112" t="s">
        <v>1259</v>
      </c>
      <c r="B72" s="112">
        <v>4</v>
      </c>
      <c r="C72" s="114">
        <v>0.0038989528951061444</v>
      </c>
      <c r="D72" s="112" t="s">
        <v>584</v>
      </c>
      <c r="E72" s="112" t="b">
        <v>0</v>
      </c>
      <c r="F72" s="112" t="b">
        <v>0</v>
      </c>
      <c r="G72" s="112" t="b">
        <v>0</v>
      </c>
    </row>
    <row r="73" spans="1:7" ht="15">
      <c r="A73" s="112" t="s">
        <v>1260</v>
      </c>
      <c r="B73" s="112">
        <v>4</v>
      </c>
      <c r="C73" s="114">
        <v>0.0038989528951061444</v>
      </c>
      <c r="D73" s="112" t="s">
        <v>584</v>
      </c>
      <c r="E73" s="112" t="b">
        <v>0</v>
      </c>
      <c r="F73" s="112" t="b">
        <v>0</v>
      </c>
      <c r="G73" s="112" t="b">
        <v>0</v>
      </c>
    </row>
    <row r="74" spans="1:7" ht="15">
      <c r="A74" s="112" t="s">
        <v>441</v>
      </c>
      <c r="B74" s="112">
        <v>4</v>
      </c>
      <c r="C74" s="114">
        <v>0.004187162206774657</v>
      </c>
      <c r="D74" s="112" t="s">
        <v>584</v>
      </c>
      <c r="E74" s="112" t="b">
        <v>0</v>
      </c>
      <c r="F74" s="112" t="b">
        <v>0</v>
      </c>
      <c r="G74" s="112" t="b">
        <v>0</v>
      </c>
    </row>
    <row r="75" spans="1:7" ht="15">
      <c r="A75" s="112" t="s">
        <v>400</v>
      </c>
      <c r="B75" s="112">
        <v>4</v>
      </c>
      <c r="C75" s="114">
        <v>0.0038989528951061444</v>
      </c>
      <c r="D75" s="112" t="s">
        <v>584</v>
      </c>
      <c r="E75" s="112" t="b">
        <v>0</v>
      </c>
      <c r="F75" s="112" t="b">
        <v>0</v>
      </c>
      <c r="G75" s="112" t="b">
        <v>0</v>
      </c>
    </row>
    <row r="76" spans="1:7" ht="15">
      <c r="A76" s="112" t="s">
        <v>546</v>
      </c>
      <c r="B76" s="112">
        <v>4</v>
      </c>
      <c r="C76" s="114">
        <v>0.0038989528951061444</v>
      </c>
      <c r="D76" s="112" t="s">
        <v>584</v>
      </c>
      <c r="E76" s="112" t="b">
        <v>0</v>
      </c>
      <c r="F76" s="112" t="b">
        <v>0</v>
      </c>
      <c r="G76" s="112" t="b">
        <v>0</v>
      </c>
    </row>
    <row r="77" spans="1:7" ht="15">
      <c r="A77" s="112" t="s">
        <v>507</v>
      </c>
      <c r="B77" s="112">
        <v>4</v>
      </c>
      <c r="C77" s="114">
        <v>0.004187162206774657</v>
      </c>
      <c r="D77" s="112" t="s">
        <v>584</v>
      </c>
      <c r="E77" s="112" t="b">
        <v>0</v>
      </c>
      <c r="F77" s="112" t="b">
        <v>0</v>
      </c>
      <c r="G77" s="112" t="b">
        <v>0</v>
      </c>
    </row>
    <row r="78" spans="1:7" ht="15">
      <c r="A78" s="112" t="s">
        <v>423</v>
      </c>
      <c r="B78" s="112">
        <v>4</v>
      </c>
      <c r="C78" s="114">
        <v>0.0038989528951061444</v>
      </c>
      <c r="D78" s="112" t="s">
        <v>584</v>
      </c>
      <c r="E78" s="112" t="b">
        <v>0</v>
      </c>
      <c r="F78" s="112" t="b">
        <v>1</v>
      </c>
      <c r="G78" s="112" t="b">
        <v>0</v>
      </c>
    </row>
    <row r="79" spans="1:7" ht="15">
      <c r="A79" s="112" t="s">
        <v>479</v>
      </c>
      <c r="B79" s="112">
        <v>4</v>
      </c>
      <c r="C79" s="114">
        <v>0.0038989528951061444</v>
      </c>
      <c r="D79" s="112" t="s">
        <v>584</v>
      </c>
      <c r="E79" s="112" t="b">
        <v>0</v>
      </c>
      <c r="F79" s="112" t="b">
        <v>1</v>
      </c>
      <c r="G79" s="112" t="b">
        <v>0</v>
      </c>
    </row>
    <row r="80" spans="1:7" ht="15">
      <c r="A80" s="112" t="s">
        <v>429</v>
      </c>
      <c r="B80" s="112">
        <v>4</v>
      </c>
      <c r="C80" s="114">
        <v>0.0038989528951061444</v>
      </c>
      <c r="D80" s="112" t="s">
        <v>584</v>
      </c>
      <c r="E80" s="112" t="b">
        <v>0</v>
      </c>
      <c r="F80" s="112" t="b">
        <v>0</v>
      </c>
      <c r="G80" s="112" t="b">
        <v>0</v>
      </c>
    </row>
    <row r="81" spans="1:7" ht="15">
      <c r="A81" s="112" t="s">
        <v>458</v>
      </c>
      <c r="B81" s="112">
        <v>3</v>
      </c>
      <c r="C81" s="114">
        <v>0.003445027812616773</v>
      </c>
      <c r="D81" s="112" t="s">
        <v>584</v>
      </c>
      <c r="E81" s="112" t="b">
        <v>0</v>
      </c>
      <c r="F81" s="112" t="b">
        <v>0</v>
      </c>
      <c r="G81" s="112" t="b">
        <v>0</v>
      </c>
    </row>
    <row r="82" spans="1:7" ht="15">
      <c r="A82" s="112" t="s">
        <v>470</v>
      </c>
      <c r="B82" s="112">
        <v>3</v>
      </c>
      <c r="C82" s="114">
        <v>0.0031403716550809924</v>
      </c>
      <c r="D82" s="112" t="s">
        <v>584</v>
      </c>
      <c r="E82" s="112" t="b">
        <v>0</v>
      </c>
      <c r="F82" s="112" t="b">
        <v>1</v>
      </c>
      <c r="G82" s="112" t="b">
        <v>0</v>
      </c>
    </row>
    <row r="83" spans="1:7" ht="15">
      <c r="A83" s="112" t="s">
        <v>547</v>
      </c>
      <c r="B83" s="112">
        <v>3</v>
      </c>
      <c r="C83" s="114">
        <v>0.0031403716550809924</v>
      </c>
      <c r="D83" s="112" t="s">
        <v>584</v>
      </c>
      <c r="E83" s="112" t="b">
        <v>0</v>
      </c>
      <c r="F83" s="112" t="b">
        <v>0</v>
      </c>
      <c r="G83" s="112" t="b">
        <v>0</v>
      </c>
    </row>
    <row r="84" spans="1:7" ht="15">
      <c r="A84" s="112" t="s">
        <v>1261</v>
      </c>
      <c r="B84" s="112">
        <v>3</v>
      </c>
      <c r="C84" s="114">
        <v>0.0031403716550809924</v>
      </c>
      <c r="D84" s="112" t="s">
        <v>584</v>
      </c>
      <c r="E84" s="112" t="b">
        <v>0</v>
      </c>
      <c r="F84" s="112" t="b">
        <v>0</v>
      </c>
      <c r="G84" s="112" t="b">
        <v>0</v>
      </c>
    </row>
    <row r="85" spans="1:7" ht="15">
      <c r="A85" s="112" t="s">
        <v>536</v>
      </c>
      <c r="B85" s="112">
        <v>3</v>
      </c>
      <c r="C85" s="114">
        <v>0.0031403716550809924</v>
      </c>
      <c r="D85" s="112" t="s">
        <v>584</v>
      </c>
      <c r="E85" s="112" t="b">
        <v>0</v>
      </c>
      <c r="F85" s="112" t="b">
        <v>0</v>
      </c>
      <c r="G85" s="112" t="b">
        <v>0</v>
      </c>
    </row>
    <row r="86" spans="1:7" ht="15">
      <c r="A86" s="112" t="s">
        <v>1262</v>
      </c>
      <c r="B86" s="112">
        <v>3</v>
      </c>
      <c r="C86" s="114">
        <v>0.0031403716550809924</v>
      </c>
      <c r="D86" s="112" t="s">
        <v>584</v>
      </c>
      <c r="E86" s="112" t="b">
        <v>0</v>
      </c>
      <c r="F86" s="112" t="b">
        <v>0</v>
      </c>
      <c r="G86" s="112" t="b">
        <v>0</v>
      </c>
    </row>
    <row r="87" spans="1:7" ht="15">
      <c r="A87" s="112" t="s">
        <v>563</v>
      </c>
      <c r="B87" s="112">
        <v>3</v>
      </c>
      <c r="C87" s="114">
        <v>0.0031403716550809924</v>
      </c>
      <c r="D87" s="112" t="s">
        <v>584</v>
      </c>
      <c r="E87" s="112" t="b">
        <v>0</v>
      </c>
      <c r="F87" s="112" t="b">
        <v>1</v>
      </c>
      <c r="G87" s="112" t="b">
        <v>0</v>
      </c>
    </row>
    <row r="88" spans="1:7" ht="15">
      <c r="A88" s="112" t="s">
        <v>1263</v>
      </c>
      <c r="B88" s="112">
        <v>3</v>
      </c>
      <c r="C88" s="114">
        <v>0.0031403716550809924</v>
      </c>
      <c r="D88" s="112" t="s">
        <v>584</v>
      </c>
      <c r="E88" s="112" t="b">
        <v>0</v>
      </c>
      <c r="F88" s="112" t="b">
        <v>0</v>
      </c>
      <c r="G88" s="112" t="b">
        <v>0</v>
      </c>
    </row>
    <row r="89" spans="1:7" ht="15">
      <c r="A89" s="112" t="s">
        <v>476</v>
      </c>
      <c r="B89" s="112">
        <v>3</v>
      </c>
      <c r="C89" s="114">
        <v>0.0031403716550809924</v>
      </c>
      <c r="D89" s="112" t="s">
        <v>584</v>
      </c>
      <c r="E89" s="112" t="b">
        <v>0</v>
      </c>
      <c r="F89" s="112" t="b">
        <v>0</v>
      </c>
      <c r="G89" s="112" t="b">
        <v>0</v>
      </c>
    </row>
    <row r="90" spans="1:7" ht="15">
      <c r="A90" s="112" t="s">
        <v>382</v>
      </c>
      <c r="B90" s="112">
        <v>3</v>
      </c>
      <c r="C90" s="114">
        <v>0.0031403716550809924</v>
      </c>
      <c r="D90" s="112" t="s">
        <v>584</v>
      </c>
      <c r="E90" s="112" t="b">
        <v>0</v>
      </c>
      <c r="F90" s="112" t="b">
        <v>0</v>
      </c>
      <c r="G90" s="112" t="b">
        <v>0</v>
      </c>
    </row>
    <row r="91" spans="1:7" ht="15">
      <c r="A91" s="112" t="s">
        <v>424</v>
      </c>
      <c r="B91" s="112">
        <v>3</v>
      </c>
      <c r="C91" s="114">
        <v>0.003445027812616773</v>
      </c>
      <c r="D91" s="112" t="s">
        <v>584</v>
      </c>
      <c r="E91" s="112" t="b">
        <v>0</v>
      </c>
      <c r="F91" s="112" t="b">
        <v>0</v>
      </c>
      <c r="G91" s="112" t="b">
        <v>0</v>
      </c>
    </row>
    <row r="92" spans="1:7" ht="15">
      <c r="A92" s="112" t="s">
        <v>415</v>
      </c>
      <c r="B92" s="112">
        <v>3</v>
      </c>
      <c r="C92" s="114">
        <v>0.0031403716550809924</v>
      </c>
      <c r="D92" s="112" t="s">
        <v>584</v>
      </c>
      <c r="E92" s="112" t="b">
        <v>0</v>
      </c>
      <c r="F92" s="112" t="b">
        <v>1</v>
      </c>
      <c r="G92" s="112" t="b">
        <v>0</v>
      </c>
    </row>
    <row r="93" spans="1:7" ht="15">
      <c r="A93" s="112" t="s">
        <v>1264</v>
      </c>
      <c r="B93" s="112">
        <v>3</v>
      </c>
      <c r="C93" s="114">
        <v>0.003445027812616773</v>
      </c>
      <c r="D93" s="112" t="s">
        <v>584</v>
      </c>
      <c r="E93" s="112" t="b">
        <v>0</v>
      </c>
      <c r="F93" s="112" t="b">
        <v>0</v>
      </c>
      <c r="G93" s="112" t="b">
        <v>0</v>
      </c>
    </row>
    <row r="94" spans="1:7" ht="15">
      <c r="A94" s="112" t="s">
        <v>485</v>
      </c>
      <c r="B94" s="112">
        <v>3</v>
      </c>
      <c r="C94" s="114">
        <v>0.0031403716550809924</v>
      </c>
      <c r="D94" s="112" t="s">
        <v>584</v>
      </c>
      <c r="E94" s="112" t="b">
        <v>1</v>
      </c>
      <c r="F94" s="112" t="b">
        <v>0</v>
      </c>
      <c r="G94" s="112" t="b">
        <v>0</v>
      </c>
    </row>
    <row r="95" spans="1:7" ht="15">
      <c r="A95" s="112" t="s">
        <v>1265</v>
      </c>
      <c r="B95" s="112">
        <v>3</v>
      </c>
      <c r="C95" s="114">
        <v>0.003445027812616773</v>
      </c>
      <c r="D95" s="112" t="s">
        <v>584</v>
      </c>
      <c r="E95" s="112" t="b">
        <v>0</v>
      </c>
      <c r="F95" s="112" t="b">
        <v>1</v>
      </c>
      <c r="G95" s="112" t="b">
        <v>0</v>
      </c>
    </row>
    <row r="96" spans="1:7" ht="15">
      <c r="A96" s="112" t="s">
        <v>421</v>
      </c>
      <c r="B96" s="112">
        <v>3</v>
      </c>
      <c r="C96" s="114">
        <v>0.0031403716550809924</v>
      </c>
      <c r="D96" s="112" t="s">
        <v>584</v>
      </c>
      <c r="E96" s="112" t="b">
        <v>0</v>
      </c>
      <c r="F96" s="112" t="b">
        <v>0</v>
      </c>
      <c r="G96" s="112" t="b">
        <v>0</v>
      </c>
    </row>
    <row r="97" spans="1:7" ht="15">
      <c r="A97" s="112" t="s">
        <v>422</v>
      </c>
      <c r="B97" s="112">
        <v>3</v>
      </c>
      <c r="C97" s="114">
        <v>0.0031403716550809924</v>
      </c>
      <c r="D97" s="112" t="s">
        <v>584</v>
      </c>
      <c r="E97" s="112" t="b">
        <v>0</v>
      </c>
      <c r="F97" s="112" t="b">
        <v>1</v>
      </c>
      <c r="G97" s="112" t="b">
        <v>0</v>
      </c>
    </row>
    <row r="98" spans="1:7" ht="15">
      <c r="A98" s="112" t="s">
        <v>1266</v>
      </c>
      <c r="B98" s="112">
        <v>3</v>
      </c>
      <c r="C98" s="114">
        <v>0.0031403716550809924</v>
      </c>
      <c r="D98" s="112" t="s">
        <v>584</v>
      </c>
      <c r="E98" s="112" t="b">
        <v>0</v>
      </c>
      <c r="F98" s="112" t="b">
        <v>0</v>
      </c>
      <c r="G98" s="112" t="b">
        <v>0</v>
      </c>
    </row>
    <row r="99" spans="1:7" ht="15">
      <c r="A99" s="112" t="s">
        <v>1267</v>
      </c>
      <c r="B99" s="112">
        <v>3</v>
      </c>
      <c r="C99" s="114">
        <v>0.0031403716550809924</v>
      </c>
      <c r="D99" s="112" t="s">
        <v>584</v>
      </c>
      <c r="E99" s="112" t="b">
        <v>0</v>
      </c>
      <c r="F99" s="112" t="b">
        <v>0</v>
      </c>
      <c r="G99" s="112" t="b">
        <v>0</v>
      </c>
    </row>
    <row r="100" spans="1:7" ht="15">
      <c r="A100" s="112" t="s">
        <v>564</v>
      </c>
      <c r="B100" s="112">
        <v>3</v>
      </c>
      <c r="C100" s="114">
        <v>0.0031403716550809924</v>
      </c>
      <c r="D100" s="112" t="s">
        <v>584</v>
      </c>
      <c r="E100" s="112" t="b">
        <v>0</v>
      </c>
      <c r="F100" s="112" t="b">
        <v>0</v>
      </c>
      <c r="G100" s="112" t="b">
        <v>0</v>
      </c>
    </row>
    <row r="101" spans="1:7" ht="15">
      <c r="A101" s="112" t="s">
        <v>466</v>
      </c>
      <c r="B101" s="112">
        <v>3</v>
      </c>
      <c r="C101" s="114">
        <v>0.0031403716550809924</v>
      </c>
      <c r="D101" s="112" t="s">
        <v>584</v>
      </c>
      <c r="E101" s="112" t="b">
        <v>0</v>
      </c>
      <c r="F101" s="112" t="b">
        <v>0</v>
      </c>
      <c r="G101" s="112" t="b">
        <v>0</v>
      </c>
    </row>
    <row r="102" spans="1:7" ht="15">
      <c r="A102" s="112" t="s">
        <v>494</v>
      </c>
      <c r="B102" s="112">
        <v>3</v>
      </c>
      <c r="C102" s="114">
        <v>0.0031403716550809924</v>
      </c>
      <c r="D102" s="112" t="s">
        <v>584</v>
      </c>
      <c r="E102" s="112" t="b">
        <v>0</v>
      </c>
      <c r="F102" s="112" t="b">
        <v>1</v>
      </c>
      <c r="G102" s="112" t="b">
        <v>0</v>
      </c>
    </row>
    <row r="103" spans="1:7" ht="15">
      <c r="A103" s="112" t="s">
        <v>539</v>
      </c>
      <c r="B103" s="112">
        <v>3</v>
      </c>
      <c r="C103" s="114">
        <v>0.0031403716550809924</v>
      </c>
      <c r="D103" s="112" t="s">
        <v>584</v>
      </c>
      <c r="E103" s="112" t="b">
        <v>1</v>
      </c>
      <c r="F103" s="112" t="b">
        <v>0</v>
      </c>
      <c r="G103" s="112" t="b">
        <v>0</v>
      </c>
    </row>
    <row r="104" spans="1:7" ht="15">
      <c r="A104" s="112" t="s">
        <v>388</v>
      </c>
      <c r="B104" s="112">
        <v>3</v>
      </c>
      <c r="C104" s="114">
        <v>0.0031403716550809924</v>
      </c>
      <c r="D104" s="112" t="s">
        <v>584</v>
      </c>
      <c r="E104" s="112" t="b">
        <v>0</v>
      </c>
      <c r="F104" s="112" t="b">
        <v>0</v>
      </c>
      <c r="G104" s="112" t="b">
        <v>0</v>
      </c>
    </row>
    <row r="105" spans="1:7" ht="15">
      <c r="A105" s="112" t="s">
        <v>435</v>
      </c>
      <c r="B105" s="112">
        <v>3</v>
      </c>
      <c r="C105" s="114">
        <v>0.0031403716550809924</v>
      </c>
      <c r="D105" s="112" t="s">
        <v>584</v>
      </c>
      <c r="E105" s="112" t="b">
        <v>0</v>
      </c>
      <c r="F105" s="112" t="b">
        <v>1</v>
      </c>
      <c r="G105" s="112" t="b">
        <v>0</v>
      </c>
    </row>
    <row r="106" spans="1:7" ht="15">
      <c r="A106" s="112" t="s">
        <v>420</v>
      </c>
      <c r="B106" s="112">
        <v>3</v>
      </c>
      <c r="C106" s="114">
        <v>0.0031403716550809924</v>
      </c>
      <c r="D106" s="112" t="s">
        <v>584</v>
      </c>
      <c r="E106" s="112" t="b">
        <v>0</v>
      </c>
      <c r="F106" s="112" t="b">
        <v>0</v>
      </c>
      <c r="G106" s="112" t="b">
        <v>0</v>
      </c>
    </row>
    <row r="107" spans="1:7" ht="15">
      <c r="A107" s="112" t="s">
        <v>1268</v>
      </c>
      <c r="B107" s="112">
        <v>3</v>
      </c>
      <c r="C107" s="114">
        <v>0.0031403716550809924</v>
      </c>
      <c r="D107" s="112" t="s">
        <v>584</v>
      </c>
      <c r="E107" s="112" t="b">
        <v>1</v>
      </c>
      <c r="F107" s="112" t="b">
        <v>0</v>
      </c>
      <c r="G107" s="112" t="b">
        <v>0</v>
      </c>
    </row>
    <row r="108" spans="1:7" ht="15">
      <c r="A108" s="112" t="s">
        <v>532</v>
      </c>
      <c r="B108" s="112">
        <v>3</v>
      </c>
      <c r="C108" s="114">
        <v>0.003445027812616773</v>
      </c>
      <c r="D108" s="112" t="s">
        <v>584</v>
      </c>
      <c r="E108" s="112" t="b">
        <v>0</v>
      </c>
      <c r="F108" s="112" t="b">
        <v>1</v>
      </c>
      <c r="G108" s="112" t="b">
        <v>0</v>
      </c>
    </row>
    <row r="109" spans="1:7" ht="15">
      <c r="A109" s="112" t="s">
        <v>1269</v>
      </c>
      <c r="B109" s="112">
        <v>3</v>
      </c>
      <c r="C109" s="114">
        <v>0.003445027812616773</v>
      </c>
      <c r="D109" s="112" t="s">
        <v>584</v>
      </c>
      <c r="E109" s="112" t="b">
        <v>0</v>
      </c>
      <c r="F109" s="112" t="b">
        <v>0</v>
      </c>
      <c r="G109" s="112" t="b">
        <v>0</v>
      </c>
    </row>
    <row r="110" spans="1:7" ht="15">
      <c r="A110" s="112" t="s">
        <v>396</v>
      </c>
      <c r="B110" s="112">
        <v>3</v>
      </c>
      <c r="C110" s="114">
        <v>0.0031403716550809924</v>
      </c>
      <c r="D110" s="112" t="s">
        <v>584</v>
      </c>
      <c r="E110" s="112" t="b">
        <v>0</v>
      </c>
      <c r="F110" s="112" t="b">
        <v>0</v>
      </c>
      <c r="G110" s="112" t="b">
        <v>0</v>
      </c>
    </row>
    <row r="111" spans="1:7" ht="15">
      <c r="A111" s="112" t="s">
        <v>1270</v>
      </c>
      <c r="B111" s="112">
        <v>3</v>
      </c>
      <c r="C111" s="114">
        <v>0.003445027812616773</v>
      </c>
      <c r="D111" s="112" t="s">
        <v>584</v>
      </c>
      <c r="E111" s="112" t="b">
        <v>0</v>
      </c>
      <c r="F111" s="112" t="b">
        <v>0</v>
      </c>
      <c r="G111" s="112" t="b">
        <v>0</v>
      </c>
    </row>
    <row r="112" spans="1:7" ht="15">
      <c r="A112" s="112" t="s">
        <v>554</v>
      </c>
      <c r="B112" s="112">
        <v>3</v>
      </c>
      <c r="C112" s="114">
        <v>0.003445027812616773</v>
      </c>
      <c r="D112" s="112" t="s">
        <v>584</v>
      </c>
      <c r="E112" s="112" t="b">
        <v>0</v>
      </c>
      <c r="F112" s="112" t="b">
        <v>0</v>
      </c>
      <c r="G112" s="112" t="b">
        <v>0</v>
      </c>
    </row>
    <row r="113" spans="1:7" ht="15">
      <c r="A113" s="112" t="s">
        <v>576</v>
      </c>
      <c r="B113" s="112">
        <v>3</v>
      </c>
      <c r="C113" s="114">
        <v>0.0031403716550809924</v>
      </c>
      <c r="D113" s="112" t="s">
        <v>584</v>
      </c>
      <c r="E113" s="112" t="b">
        <v>0</v>
      </c>
      <c r="F113" s="112" t="b">
        <v>1</v>
      </c>
      <c r="G113" s="112" t="b">
        <v>0</v>
      </c>
    </row>
    <row r="114" spans="1:7" ht="15">
      <c r="A114" s="112" t="s">
        <v>462</v>
      </c>
      <c r="B114" s="112">
        <v>3</v>
      </c>
      <c r="C114" s="114">
        <v>0.0031403716550809924</v>
      </c>
      <c r="D114" s="112" t="s">
        <v>584</v>
      </c>
      <c r="E114" s="112" t="b">
        <v>0</v>
      </c>
      <c r="F114" s="112" t="b">
        <v>0</v>
      </c>
      <c r="G114" s="112" t="b">
        <v>0</v>
      </c>
    </row>
    <row r="115" spans="1:7" ht="15">
      <c r="A115" s="112" t="s">
        <v>572</v>
      </c>
      <c r="B115" s="112">
        <v>3</v>
      </c>
      <c r="C115" s="114">
        <v>0.003445027812616773</v>
      </c>
      <c r="D115" s="112" t="s">
        <v>584</v>
      </c>
      <c r="E115" s="112" t="b">
        <v>0</v>
      </c>
      <c r="F115" s="112" t="b">
        <v>0</v>
      </c>
      <c r="G115" s="112" t="b">
        <v>0</v>
      </c>
    </row>
    <row r="116" spans="1:7" ht="15">
      <c r="A116" s="112" t="s">
        <v>1271</v>
      </c>
      <c r="B116" s="112">
        <v>3</v>
      </c>
      <c r="C116" s="114">
        <v>0.0031403716550809924</v>
      </c>
      <c r="D116" s="112" t="s">
        <v>584</v>
      </c>
      <c r="E116" s="112" t="b">
        <v>0</v>
      </c>
      <c r="F116" s="112" t="b">
        <v>0</v>
      </c>
      <c r="G116" s="112" t="b">
        <v>0</v>
      </c>
    </row>
    <row r="117" spans="1:7" ht="15">
      <c r="A117" s="112" t="s">
        <v>1272</v>
      </c>
      <c r="B117" s="112">
        <v>3</v>
      </c>
      <c r="C117" s="114">
        <v>0.0031403716550809924</v>
      </c>
      <c r="D117" s="112" t="s">
        <v>584</v>
      </c>
      <c r="E117" s="112" t="b">
        <v>0</v>
      </c>
      <c r="F117" s="112" t="b">
        <v>0</v>
      </c>
      <c r="G117" s="112" t="b">
        <v>0</v>
      </c>
    </row>
    <row r="118" spans="1:7" ht="15">
      <c r="A118" s="112" t="s">
        <v>444</v>
      </c>
      <c r="B118" s="112">
        <v>3</v>
      </c>
      <c r="C118" s="114">
        <v>0.0031403716550809924</v>
      </c>
      <c r="D118" s="112" t="s">
        <v>584</v>
      </c>
      <c r="E118" s="112" t="b">
        <v>0</v>
      </c>
      <c r="F118" s="112" t="b">
        <v>0</v>
      </c>
      <c r="G118" s="112" t="b">
        <v>0</v>
      </c>
    </row>
    <row r="119" spans="1:7" ht="15">
      <c r="A119" s="112" t="s">
        <v>412</v>
      </c>
      <c r="B119" s="112">
        <v>3</v>
      </c>
      <c r="C119" s="114">
        <v>0.0031403716550809924</v>
      </c>
      <c r="D119" s="112" t="s">
        <v>584</v>
      </c>
      <c r="E119" s="112" t="b">
        <v>0</v>
      </c>
      <c r="F119" s="112" t="b">
        <v>0</v>
      </c>
      <c r="G119" s="112" t="b">
        <v>0</v>
      </c>
    </row>
    <row r="120" spans="1:7" ht="15">
      <c r="A120" s="112" t="s">
        <v>407</v>
      </c>
      <c r="B120" s="112">
        <v>3</v>
      </c>
      <c r="C120" s="114">
        <v>0.0031403716550809924</v>
      </c>
      <c r="D120" s="112" t="s">
        <v>584</v>
      </c>
      <c r="E120" s="112" t="b">
        <v>0</v>
      </c>
      <c r="F120" s="112" t="b">
        <v>0</v>
      </c>
      <c r="G120" s="112" t="b">
        <v>0</v>
      </c>
    </row>
    <row r="121" spans="1:7" ht="15">
      <c r="A121" s="112" t="s">
        <v>483</v>
      </c>
      <c r="B121" s="112">
        <v>3</v>
      </c>
      <c r="C121" s="114">
        <v>0.0031403716550809924</v>
      </c>
      <c r="D121" s="112" t="s">
        <v>584</v>
      </c>
      <c r="E121" s="112" t="b">
        <v>0</v>
      </c>
      <c r="F121" s="112" t="b">
        <v>0</v>
      </c>
      <c r="G121" s="112" t="b">
        <v>0</v>
      </c>
    </row>
    <row r="122" spans="1:7" ht="15">
      <c r="A122" s="112" t="s">
        <v>1273</v>
      </c>
      <c r="B122" s="112">
        <v>3</v>
      </c>
      <c r="C122" s="114">
        <v>0.003445027812616773</v>
      </c>
      <c r="D122" s="112" t="s">
        <v>584</v>
      </c>
      <c r="E122" s="112" t="b">
        <v>0</v>
      </c>
      <c r="F122" s="112" t="b">
        <v>0</v>
      </c>
      <c r="G122" s="112" t="b">
        <v>0</v>
      </c>
    </row>
    <row r="123" spans="1:7" ht="15">
      <c r="A123" s="112" t="s">
        <v>1274</v>
      </c>
      <c r="B123" s="112">
        <v>3</v>
      </c>
      <c r="C123" s="114">
        <v>0.0031403716550809924</v>
      </c>
      <c r="D123" s="112" t="s">
        <v>584</v>
      </c>
      <c r="E123" s="112" t="b">
        <v>0</v>
      </c>
      <c r="F123" s="112" t="b">
        <v>0</v>
      </c>
      <c r="G123" s="112" t="b">
        <v>0</v>
      </c>
    </row>
    <row r="124" spans="1:7" ht="15">
      <c r="A124" s="112" t="s">
        <v>443</v>
      </c>
      <c r="B124" s="112">
        <v>3</v>
      </c>
      <c r="C124" s="114">
        <v>0.0031403716550809924</v>
      </c>
      <c r="D124" s="112" t="s">
        <v>584</v>
      </c>
      <c r="E124" s="112" t="b">
        <v>0</v>
      </c>
      <c r="F124" s="112" t="b">
        <v>0</v>
      </c>
      <c r="G124" s="112" t="b">
        <v>0</v>
      </c>
    </row>
    <row r="125" spans="1:7" ht="15">
      <c r="A125" s="112" t="s">
        <v>520</v>
      </c>
      <c r="B125" s="112">
        <v>3</v>
      </c>
      <c r="C125" s="114">
        <v>0.003445027812616773</v>
      </c>
      <c r="D125" s="112" t="s">
        <v>584</v>
      </c>
      <c r="E125" s="112" t="b">
        <v>0</v>
      </c>
      <c r="F125" s="112" t="b">
        <v>1</v>
      </c>
      <c r="G125" s="112" t="b">
        <v>0</v>
      </c>
    </row>
    <row r="126" spans="1:7" ht="15">
      <c r="A126" s="112" t="s">
        <v>445</v>
      </c>
      <c r="B126" s="112">
        <v>3</v>
      </c>
      <c r="C126" s="114">
        <v>0.0031403716550809924</v>
      </c>
      <c r="D126" s="112" t="s">
        <v>584</v>
      </c>
      <c r="E126" s="112" t="b">
        <v>0</v>
      </c>
      <c r="F126" s="112" t="b">
        <v>0</v>
      </c>
      <c r="G126" s="112" t="b">
        <v>0</v>
      </c>
    </row>
    <row r="127" spans="1:7" ht="15">
      <c r="A127" s="112" t="s">
        <v>419</v>
      </c>
      <c r="B127" s="112">
        <v>3</v>
      </c>
      <c r="C127" s="114">
        <v>0.0031403716550809924</v>
      </c>
      <c r="D127" s="112" t="s">
        <v>584</v>
      </c>
      <c r="E127" s="112" t="b">
        <v>0</v>
      </c>
      <c r="F127" s="112" t="b">
        <v>0</v>
      </c>
      <c r="G127" s="112" t="b">
        <v>0</v>
      </c>
    </row>
    <row r="128" spans="1:7" ht="15">
      <c r="A128" s="112" t="s">
        <v>501</v>
      </c>
      <c r="B128" s="112">
        <v>3</v>
      </c>
      <c r="C128" s="114">
        <v>0.0031403716550809924</v>
      </c>
      <c r="D128" s="112" t="s">
        <v>584</v>
      </c>
      <c r="E128" s="112" t="b">
        <v>0</v>
      </c>
      <c r="F128" s="112" t="b">
        <v>0</v>
      </c>
      <c r="G128" s="112" t="b">
        <v>0</v>
      </c>
    </row>
    <row r="129" spans="1:7" ht="15">
      <c r="A129" s="112" t="s">
        <v>543</v>
      </c>
      <c r="B129" s="112">
        <v>3</v>
      </c>
      <c r="C129" s="114">
        <v>0.003445027812616773</v>
      </c>
      <c r="D129" s="112" t="s">
        <v>584</v>
      </c>
      <c r="E129" s="112" t="b">
        <v>0</v>
      </c>
      <c r="F129" s="112" t="b">
        <v>0</v>
      </c>
      <c r="G129" s="112" t="b">
        <v>0</v>
      </c>
    </row>
    <row r="130" spans="1:7" ht="15">
      <c r="A130" s="112" t="s">
        <v>1275</v>
      </c>
      <c r="B130" s="112">
        <v>3</v>
      </c>
      <c r="C130" s="114">
        <v>0.0031403716550809924</v>
      </c>
      <c r="D130" s="112" t="s">
        <v>584</v>
      </c>
      <c r="E130" s="112" t="b">
        <v>0</v>
      </c>
      <c r="F130" s="112" t="b">
        <v>0</v>
      </c>
      <c r="G130" s="112" t="b">
        <v>0</v>
      </c>
    </row>
    <row r="131" spans="1:7" ht="15">
      <c r="A131" s="112" t="s">
        <v>391</v>
      </c>
      <c r="B131" s="112">
        <v>3</v>
      </c>
      <c r="C131" s="114">
        <v>0.0031403716550809924</v>
      </c>
      <c r="D131" s="112" t="s">
        <v>584</v>
      </c>
      <c r="E131" s="112" t="b">
        <v>0</v>
      </c>
      <c r="F131" s="112" t="b">
        <v>0</v>
      </c>
      <c r="G131" s="112" t="b">
        <v>0</v>
      </c>
    </row>
    <row r="132" spans="1:7" ht="15">
      <c r="A132" s="112" t="s">
        <v>1276</v>
      </c>
      <c r="B132" s="112">
        <v>3</v>
      </c>
      <c r="C132" s="114">
        <v>0.003445027812616773</v>
      </c>
      <c r="D132" s="112" t="s">
        <v>584</v>
      </c>
      <c r="E132" s="112" t="b">
        <v>0</v>
      </c>
      <c r="F132" s="112" t="b">
        <v>0</v>
      </c>
      <c r="G132" s="112" t="b">
        <v>0</v>
      </c>
    </row>
    <row r="133" spans="1:7" ht="15">
      <c r="A133" s="112" t="s">
        <v>571</v>
      </c>
      <c r="B133" s="112">
        <v>3</v>
      </c>
      <c r="C133" s="114">
        <v>0.0031403716550809924</v>
      </c>
      <c r="D133" s="112" t="s">
        <v>584</v>
      </c>
      <c r="E133" s="112" t="b">
        <v>0</v>
      </c>
      <c r="F133" s="112" t="b">
        <v>0</v>
      </c>
      <c r="G133" s="112" t="b">
        <v>0</v>
      </c>
    </row>
    <row r="134" spans="1:7" ht="15">
      <c r="A134" s="112" t="s">
        <v>550</v>
      </c>
      <c r="B134" s="112">
        <v>3</v>
      </c>
      <c r="C134" s="114">
        <v>0.0031403716550809924</v>
      </c>
      <c r="D134" s="112" t="s">
        <v>584</v>
      </c>
      <c r="E134" s="112" t="b">
        <v>0</v>
      </c>
      <c r="F134" s="112" t="b">
        <v>0</v>
      </c>
      <c r="G134" s="112" t="b">
        <v>0</v>
      </c>
    </row>
    <row r="135" spans="1:7" ht="15">
      <c r="A135" s="112" t="s">
        <v>473</v>
      </c>
      <c r="B135" s="112">
        <v>3</v>
      </c>
      <c r="C135" s="114">
        <v>0.0031403716550809924</v>
      </c>
      <c r="D135" s="112" t="s">
        <v>584</v>
      </c>
      <c r="E135" s="112" t="b">
        <v>0</v>
      </c>
      <c r="F135" s="112" t="b">
        <v>0</v>
      </c>
      <c r="G135" s="112" t="b">
        <v>0</v>
      </c>
    </row>
    <row r="136" spans="1:7" ht="15">
      <c r="A136" s="112" t="s">
        <v>511</v>
      </c>
      <c r="B136" s="112">
        <v>3</v>
      </c>
      <c r="C136" s="114">
        <v>0.003445027812616773</v>
      </c>
      <c r="D136" s="112" t="s">
        <v>584</v>
      </c>
      <c r="E136" s="112" t="b">
        <v>0</v>
      </c>
      <c r="F136" s="112" t="b">
        <v>0</v>
      </c>
      <c r="G136" s="112" t="b">
        <v>0</v>
      </c>
    </row>
    <row r="137" spans="1:7" ht="15">
      <c r="A137" s="112" t="s">
        <v>468</v>
      </c>
      <c r="B137" s="112">
        <v>3</v>
      </c>
      <c r="C137" s="114">
        <v>0.0031403716550809924</v>
      </c>
      <c r="D137" s="112" t="s">
        <v>584</v>
      </c>
      <c r="E137" s="112" t="b">
        <v>0</v>
      </c>
      <c r="F137" s="112" t="b">
        <v>0</v>
      </c>
      <c r="G137" s="112" t="b">
        <v>0</v>
      </c>
    </row>
    <row r="138" spans="1:7" ht="15">
      <c r="A138" s="112" t="s">
        <v>481</v>
      </c>
      <c r="B138" s="112">
        <v>3</v>
      </c>
      <c r="C138" s="114">
        <v>0.0031403716550809924</v>
      </c>
      <c r="D138" s="112" t="s">
        <v>584</v>
      </c>
      <c r="E138" s="112" t="b">
        <v>0</v>
      </c>
      <c r="F138" s="112" t="b">
        <v>1</v>
      </c>
      <c r="G138" s="112" t="b">
        <v>0</v>
      </c>
    </row>
    <row r="139" spans="1:7" ht="15">
      <c r="A139" s="112" t="s">
        <v>565</v>
      </c>
      <c r="B139" s="112">
        <v>3</v>
      </c>
      <c r="C139" s="114">
        <v>0.0031403716550809924</v>
      </c>
      <c r="D139" s="112" t="s">
        <v>584</v>
      </c>
      <c r="E139" s="112" t="b">
        <v>0</v>
      </c>
      <c r="F139" s="112" t="b">
        <v>1</v>
      </c>
      <c r="G139" s="112" t="b">
        <v>0</v>
      </c>
    </row>
    <row r="140" spans="1:7" ht="15">
      <c r="A140" s="112" t="s">
        <v>1277</v>
      </c>
      <c r="B140" s="112">
        <v>3</v>
      </c>
      <c r="C140" s="114">
        <v>0.003445027812616773</v>
      </c>
      <c r="D140" s="112" t="s">
        <v>584</v>
      </c>
      <c r="E140" s="112" t="b">
        <v>0</v>
      </c>
      <c r="F140" s="112" t="b">
        <v>0</v>
      </c>
      <c r="G140" s="112" t="b">
        <v>0</v>
      </c>
    </row>
    <row r="141" spans="1:7" ht="15">
      <c r="A141" s="112" t="s">
        <v>552</v>
      </c>
      <c r="B141" s="112">
        <v>2</v>
      </c>
      <c r="C141" s="114">
        <v>0.002296685208411182</v>
      </c>
      <c r="D141" s="112" t="s">
        <v>584</v>
      </c>
      <c r="E141" s="112" t="b">
        <v>0</v>
      </c>
      <c r="F141" s="112" t="b">
        <v>0</v>
      </c>
      <c r="G141" s="112" t="b">
        <v>0</v>
      </c>
    </row>
    <row r="142" spans="1:7" ht="15">
      <c r="A142" s="112" t="s">
        <v>489</v>
      </c>
      <c r="B142" s="112">
        <v>2</v>
      </c>
      <c r="C142" s="114">
        <v>0.002296685208411182</v>
      </c>
      <c r="D142" s="112" t="s">
        <v>584</v>
      </c>
      <c r="E142" s="112" t="b">
        <v>0</v>
      </c>
      <c r="F142" s="112" t="b">
        <v>0</v>
      </c>
      <c r="G142" s="112" t="b">
        <v>0</v>
      </c>
    </row>
    <row r="143" spans="1:7" ht="15">
      <c r="A143" s="112" t="s">
        <v>1278</v>
      </c>
      <c r="B143" s="112">
        <v>2</v>
      </c>
      <c r="C143" s="114">
        <v>0.002296685208411182</v>
      </c>
      <c r="D143" s="112" t="s">
        <v>584</v>
      </c>
      <c r="E143" s="112" t="b">
        <v>0</v>
      </c>
      <c r="F143" s="112" t="b">
        <v>0</v>
      </c>
      <c r="G143" s="112" t="b">
        <v>0</v>
      </c>
    </row>
    <row r="144" spans="1:7" ht="15">
      <c r="A144" s="112" t="s">
        <v>1279</v>
      </c>
      <c r="B144" s="112">
        <v>2</v>
      </c>
      <c r="C144" s="114">
        <v>0.002296685208411182</v>
      </c>
      <c r="D144" s="112" t="s">
        <v>584</v>
      </c>
      <c r="E144" s="112" t="b">
        <v>0</v>
      </c>
      <c r="F144" s="112" t="b">
        <v>0</v>
      </c>
      <c r="G144" s="112" t="b">
        <v>0</v>
      </c>
    </row>
    <row r="145" spans="1:7" ht="15">
      <c r="A145" s="112" t="s">
        <v>397</v>
      </c>
      <c r="B145" s="112">
        <v>2</v>
      </c>
      <c r="C145" s="114">
        <v>0.002296685208411182</v>
      </c>
      <c r="D145" s="112" t="s">
        <v>584</v>
      </c>
      <c r="E145" s="112" t="b">
        <v>0</v>
      </c>
      <c r="F145" s="112" t="b">
        <v>0</v>
      </c>
      <c r="G145" s="112" t="b">
        <v>0</v>
      </c>
    </row>
    <row r="146" spans="1:7" ht="15">
      <c r="A146" s="112" t="s">
        <v>377</v>
      </c>
      <c r="B146" s="112">
        <v>2</v>
      </c>
      <c r="C146" s="114">
        <v>0.002296685208411182</v>
      </c>
      <c r="D146" s="112" t="s">
        <v>584</v>
      </c>
      <c r="E146" s="112" t="b">
        <v>1</v>
      </c>
      <c r="F146" s="112" t="b">
        <v>0</v>
      </c>
      <c r="G146" s="112" t="b">
        <v>0</v>
      </c>
    </row>
    <row r="147" spans="1:7" ht="15">
      <c r="A147" s="112" t="s">
        <v>548</v>
      </c>
      <c r="B147" s="112">
        <v>2</v>
      </c>
      <c r="C147" s="114">
        <v>0.002296685208411182</v>
      </c>
      <c r="D147" s="112" t="s">
        <v>584</v>
      </c>
      <c r="E147" s="112" t="b">
        <v>0</v>
      </c>
      <c r="F147" s="112" t="b">
        <v>0</v>
      </c>
      <c r="G147" s="112" t="b">
        <v>0</v>
      </c>
    </row>
    <row r="148" spans="1:7" ht="15">
      <c r="A148" s="112" t="s">
        <v>567</v>
      </c>
      <c r="B148" s="112">
        <v>2</v>
      </c>
      <c r="C148" s="114">
        <v>0.002296685208411182</v>
      </c>
      <c r="D148" s="112" t="s">
        <v>584</v>
      </c>
      <c r="E148" s="112" t="b">
        <v>0</v>
      </c>
      <c r="F148" s="112" t="b">
        <v>0</v>
      </c>
      <c r="G148" s="112" t="b">
        <v>0</v>
      </c>
    </row>
    <row r="149" spans="1:7" ht="15">
      <c r="A149" s="112" t="s">
        <v>438</v>
      </c>
      <c r="B149" s="112">
        <v>2</v>
      </c>
      <c r="C149" s="114">
        <v>0.002296685208411182</v>
      </c>
      <c r="D149" s="112" t="s">
        <v>584</v>
      </c>
      <c r="E149" s="112" t="b">
        <v>0</v>
      </c>
      <c r="F149" s="112" t="b">
        <v>0</v>
      </c>
      <c r="G149" s="112" t="b">
        <v>0</v>
      </c>
    </row>
    <row r="150" spans="1:7" ht="15">
      <c r="A150" s="112" t="s">
        <v>439</v>
      </c>
      <c r="B150" s="112">
        <v>2</v>
      </c>
      <c r="C150" s="114">
        <v>0.002296685208411182</v>
      </c>
      <c r="D150" s="112" t="s">
        <v>584</v>
      </c>
      <c r="E150" s="112" t="b">
        <v>0</v>
      </c>
      <c r="F150" s="112" t="b">
        <v>0</v>
      </c>
      <c r="G150" s="112" t="b">
        <v>0</v>
      </c>
    </row>
    <row r="151" spans="1:7" ht="15">
      <c r="A151" s="112" t="s">
        <v>522</v>
      </c>
      <c r="B151" s="112">
        <v>2</v>
      </c>
      <c r="C151" s="114">
        <v>0.002296685208411182</v>
      </c>
      <c r="D151" s="112" t="s">
        <v>584</v>
      </c>
      <c r="E151" s="112" t="b">
        <v>0</v>
      </c>
      <c r="F151" s="112" t="b">
        <v>0</v>
      </c>
      <c r="G151" s="112" t="b">
        <v>0</v>
      </c>
    </row>
    <row r="152" spans="1:7" ht="15">
      <c r="A152" s="112" t="s">
        <v>1280</v>
      </c>
      <c r="B152" s="112">
        <v>2</v>
      </c>
      <c r="C152" s="114">
        <v>0.002296685208411182</v>
      </c>
      <c r="D152" s="112" t="s">
        <v>584</v>
      </c>
      <c r="E152" s="112" t="b">
        <v>0</v>
      </c>
      <c r="F152" s="112" t="b">
        <v>0</v>
      </c>
      <c r="G152" s="112" t="b">
        <v>0</v>
      </c>
    </row>
    <row r="153" spans="1:7" ht="15">
      <c r="A153" s="112" t="s">
        <v>542</v>
      </c>
      <c r="B153" s="112">
        <v>2</v>
      </c>
      <c r="C153" s="114">
        <v>0.0026438939692692916</v>
      </c>
      <c r="D153" s="112" t="s">
        <v>584</v>
      </c>
      <c r="E153" s="112" t="b">
        <v>0</v>
      </c>
      <c r="F153" s="112" t="b">
        <v>0</v>
      </c>
      <c r="G153" s="112" t="b">
        <v>0</v>
      </c>
    </row>
    <row r="154" spans="1:7" ht="15">
      <c r="A154" s="112" t="s">
        <v>394</v>
      </c>
      <c r="B154" s="112">
        <v>2</v>
      </c>
      <c r="C154" s="114">
        <v>0.002296685208411182</v>
      </c>
      <c r="D154" s="112" t="s">
        <v>584</v>
      </c>
      <c r="E154" s="112" t="b">
        <v>0</v>
      </c>
      <c r="F154" s="112" t="b">
        <v>0</v>
      </c>
      <c r="G154" s="112" t="b">
        <v>0</v>
      </c>
    </row>
    <row r="155" spans="1:7" ht="15">
      <c r="A155" s="112" t="s">
        <v>496</v>
      </c>
      <c r="B155" s="112">
        <v>2</v>
      </c>
      <c r="C155" s="114">
        <v>0.002296685208411182</v>
      </c>
      <c r="D155" s="112" t="s">
        <v>584</v>
      </c>
      <c r="E155" s="112" t="b">
        <v>0</v>
      </c>
      <c r="F155" s="112" t="b">
        <v>0</v>
      </c>
      <c r="G155" s="112" t="b">
        <v>0</v>
      </c>
    </row>
    <row r="156" spans="1:7" ht="15">
      <c r="A156" s="112" t="s">
        <v>1281</v>
      </c>
      <c r="B156" s="112">
        <v>2</v>
      </c>
      <c r="C156" s="114">
        <v>0.002296685208411182</v>
      </c>
      <c r="D156" s="112" t="s">
        <v>584</v>
      </c>
      <c r="E156" s="112" t="b">
        <v>0</v>
      </c>
      <c r="F156" s="112" t="b">
        <v>0</v>
      </c>
      <c r="G156" s="112" t="b">
        <v>0</v>
      </c>
    </row>
    <row r="157" spans="1:7" ht="15">
      <c r="A157" s="112" t="s">
        <v>529</v>
      </c>
      <c r="B157" s="112">
        <v>2</v>
      </c>
      <c r="C157" s="114">
        <v>0.002296685208411182</v>
      </c>
      <c r="D157" s="112" t="s">
        <v>584</v>
      </c>
      <c r="E157" s="112" t="b">
        <v>0</v>
      </c>
      <c r="F157" s="112" t="b">
        <v>0</v>
      </c>
      <c r="G157" s="112" t="b">
        <v>0</v>
      </c>
    </row>
    <row r="158" spans="1:7" ht="15">
      <c r="A158" s="112" t="s">
        <v>506</v>
      </c>
      <c r="B158" s="112">
        <v>2</v>
      </c>
      <c r="C158" s="114">
        <v>0.002296685208411182</v>
      </c>
      <c r="D158" s="112" t="s">
        <v>584</v>
      </c>
      <c r="E158" s="112" t="b">
        <v>0</v>
      </c>
      <c r="F158" s="112" t="b">
        <v>0</v>
      </c>
      <c r="G158" s="112" t="b">
        <v>0</v>
      </c>
    </row>
    <row r="159" spans="1:7" ht="15">
      <c r="A159" s="112" t="s">
        <v>568</v>
      </c>
      <c r="B159" s="112">
        <v>2</v>
      </c>
      <c r="C159" s="114">
        <v>0.002296685208411182</v>
      </c>
      <c r="D159" s="112" t="s">
        <v>584</v>
      </c>
      <c r="E159" s="112" t="b">
        <v>0</v>
      </c>
      <c r="F159" s="112" t="b">
        <v>0</v>
      </c>
      <c r="G159" s="112" t="b">
        <v>0</v>
      </c>
    </row>
    <row r="160" spans="1:7" ht="15">
      <c r="A160" s="112" t="s">
        <v>381</v>
      </c>
      <c r="B160" s="112">
        <v>2</v>
      </c>
      <c r="C160" s="114">
        <v>0.002296685208411182</v>
      </c>
      <c r="D160" s="112" t="s">
        <v>584</v>
      </c>
      <c r="E160" s="112" t="b">
        <v>1</v>
      </c>
      <c r="F160" s="112" t="b">
        <v>0</v>
      </c>
      <c r="G160" s="112" t="b">
        <v>0</v>
      </c>
    </row>
    <row r="161" spans="1:7" ht="15">
      <c r="A161" s="112" t="s">
        <v>447</v>
      </c>
      <c r="B161" s="112">
        <v>2</v>
      </c>
      <c r="C161" s="114">
        <v>0.002296685208411182</v>
      </c>
      <c r="D161" s="112" t="s">
        <v>584</v>
      </c>
      <c r="E161" s="112" t="b">
        <v>0</v>
      </c>
      <c r="F161" s="112" t="b">
        <v>0</v>
      </c>
      <c r="G161" s="112" t="b">
        <v>0</v>
      </c>
    </row>
    <row r="162" spans="1:7" ht="15">
      <c r="A162" s="112" t="s">
        <v>561</v>
      </c>
      <c r="B162" s="112">
        <v>2</v>
      </c>
      <c r="C162" s="114">
        <v>0.002296685208411182</v>
      </c>
      <c r="D162" s="112" t="s">
        <v>584</v>
      </c>
      <c r="E162" s="112" t="b">
        <v>0</v>
      </c>
      <c r="F162" s="112" t="b">
        <v>0</v>
      </c>
      <c r="G162" s="112" t="b">
        <v>0</v>
      </c>
    </row>
    <row r="163" spans="1:7" ht="15">
      <c r="A163" s="112" t="s">
        <v>1282</v>
      </c>
      <c r="B163" s="112">
        <v>2</v>
      </c>
      <c r="C163" s="114">
        <v>0.002296685208411182</v>
      </c>
      <c r="D163" s="112" t="s">
        <v>584</v>
      </c>
      <c r="E163" s="112" t="b">
        <v>0</v>
      </c>
      <c r="F163" s="112" t="b">
        <v>0</v>
      </c>
      <c r="G163" s="112" t="b">
        <v>0</v>
      </c>
    </row>
    <row r="164" spans="1:7" ht="15">
      <c r="A164" s="112" t="s">
        <v>1283</v>
      </c>
      <c r="B164" s="112">
        <v>2</v>
      </c>
      <c r="C164" s="114">
        <v>0.002296685208411182</v>
      </c>
      <c r="D164" s="112" t="s">
        <v>584</v>
      </c>
      <c r="E164" s="112" t="b">
        <v>0</v>
      </c>
      <c r="F164" s="112" t="b">
        <v>0</v>
      </c>
      <c r="G164" s="112" t="b">
        <v>0</v>
      </c>
    </row>
    <row r="165" spans="1:7" ht="15">
      <c r="A165" s="112" t="s">
        <v>1284</v>
      </c>
      <c r="B165" s="112">
        <v>2</v>
      </c>
      <c r="C165" s="114">
        <v>0.002296685208411182</v>
      </c>
      <c r="D165" s="112" t="s">
        <v>584</v>
      </c>
      <c r="E165" s="112" t="b">
        <v>0</v>
      </c>
      <c r="F165" s="112" t="b">
        <v>0</v>
      </c>
      <c r="G165" s="112" t="b">
        <v>0</v>
      </c>
    </row>
    <row r="166" spans="1:7" ht="15">
      <c r="A166" s="112" t="s">
        <v>1285</v>
      </c>
      <c r="B166" s="112">
        <v>2</v>
      </c>
      <c r="C166" s="114">
        <v>0.002296685208411182</v>
      </c>
      <c r="D166" s="112" t="s">
        <v>584</v>
      </c>
      <c r="E166" s="112" t="b">
        <v>0</v>
      </c>
      <c r="F166" s="112" t="b">
        <v>0</v>
      </c>
      <c r="G166" s="112" t="b">
        <v>0</v>
      </c>
    </row>
    <row r="167" spans="1:7" ht="15">
      <c r="A167" s="112" t="s">
        <v>508</v>
      </c>
      <c r="B167" s="112">
        <v>2</v>
      </c>
      <c r="C167" s="114">
        <v>0.002296685208411182</v>
      </c>
      <c r="D167" s="112" t="s">
        <v>584</v>
      </c>
      <c r="E167" s="112" t="b">
        <v>0</v>
      </c>
      <c r="F167" s="112" t="b">
        <v>0</v>
      </c>
      <c r="G167" s="112" t="b">
        <v>0</v>
      </c>
    </row>
    <row r="168" spans="1:7" ht="15">
      <c r="A168" s="112" t="s">
        <v>478</v>
      </c>
      <c r="B168" s="112">
        <v>2</v>
      </c>
      <c r="C168" s="114">
        <v>0.0026438939692692916</v>
      </c>
      <c r="D168" s="112" t="s">
        <v>584</v>
      </c>
      <c r="E168" s="112" t="b">
        <v>0</v>
      </c>
      <c r="F168" s="112" t="b">
        <v>0</v>
      </c>
      <c r="G168" s="112" t="b">
        <v>0</v>
      </c>
    </row>
    <row r="169" spans="1:7" ht="15">
      <c r="A169" s="112" t="s">
        <v>488</v>
      </c>
      <c r="B169" s="112">
        <v>2</v>
      </c>
      <c r="C169" s="114">
        <v>0.002296685208411182</v>
      </c>
      <c r="D169" s="112" t="s">
        <v>584</v>
      </c>
      <c r="E169" s="112" t="b">
        <v>0</v>
      </c>
      <c r="F169" s="112" t="b">
        <v>0</v>
      </c>
      <c r="G169" s="112" t="b">
        <v>0</v>
      </c>
    </row>
    <row r="170" spans="1:7" ht="15">
      <c r="A170" s="112" t="s">
        <v>1286</v>
      </c>
      <c r="B170" s="112">
        <v>2</v>
      </c>
      <c r="C170" s="114">
        <v>0.002296685208411182</v>
      </c>
      <c r="D170" s="112" t="s">
        <v>584</v>
      </c>
      <c r="E170" s="112" t="b">
        <v>0</v>
      </c>
      <c r="F170" s="112" t="b">
        <v>0</v>
      </c>
      <c r="G170" s="112" t="b">
        <v>0</v>
      </c>
    </row>
    <row r="171" spans="1:7" ht="15">
      <c r="A171" s="112" t="s">
        <v>1287</v>
      </c>
      <c r="B171" s="112">
        <v>2</v>
      </c>
      <c r="C171" s="114">
        <v>0.002296685208411182</v>
      </c>
      <c r="D171" s="112" t="s">
        <v>584</v>
      </c>
      <c r="E171" s="112" t="b">
        <v>0</v>
      </c>
      <c r="F171" s="112" t="b">
        <v>0</v>
      </c>
      <c r="G171" s="112" t="b">
        <v>0</v>
      </c>
    </row>
    <row r="172" spans="1:7" ht="15">
      <c r="A172" s="112" t="s">
        <v>1288</v>
      </c>
      <c r="B172" s="112">
        <v>2</v>
      </c>
      <c r="C172" s="114">
        <v>0.002296685208411182</v>
      </c>
      <c r="D172" s="112" t="s">
        <v>584</v>
      </c>
      <c r="E172" s="112" t="b">
        <v>0</v>
      </c>
      <c r="F172" s="112" t="b">
        <v>0</v>
      </c>
      <c r="G172" s="112" t="b">
        <v>0</v>
      </c>
    </row>
    <row r="173" spans="1:7" ht="15">
      <c r="A173" s="112" t="s">
        <v>1289</v>
      </c>
      <c r="B173" s="112">
        <v>2</v>
      </c>
      <c r="C173" s="114">
        <v>0.0026438939692692916</v>
      </c>
      <c r="D173" s="112" t="s">
        <v>584</v>
      </c>
      <c r="E173" s="112" t="b">
        <v>0</v>
      </c>
      <c r="F173" s="112" t="b">
        <v>0</v>
      </c>
      <c r="G173" s="112" t="b">
        <v>0</v>
      </c>
    </row>
    <row r="174" spans="1:7" ht="15">
      <c r="A174" s="112" t="s">
        <v>1290</v>
      </c>
      <c r="B174" s="112">
        <v>2</v>
      </c>
      <c r="C174" s="114">
        <v>0.002296685208411182</v>
      </c>
      <c r="D174" s="112" t="s">
        <v>584</v>
      </c>
      <c r="E174" s="112" t="b">
        <v>1</v>
      </c>
      <c r="F174" s="112" t="b">
        <v>0</v>
      </c>
      <c r="G174" s="112" t="b">
        <v>0</v>
      </c>
    </row>
    <row r="175" spans="1:7" ht="15">
      <c r="A175" s="112" t="s">
        <v>464</v>
      </c>
      <c r="B175" s="112">
        <v>2</v>
      </c>
      <c r="C175" s="114">
        <v>0.002296685208411182</v>
      </c>
      <c r="D175" s="112" t="s">
        <v>584</v>
      </c>
      <c r="E175" s="112" t="b">
        <v>0</v>
      </c>
      <c r="F175" s="112" t="b">
        <v>0</v>
      </c>
      <c r="G175" s="112" t="b">
        <v>0</v>
      </c>
    </row>
    <row r="176" spans="1:7" ht="15">
      <c r="A176" s="112" t="s">
        <v>515</v>
      </c>
      <c r="B176" s="112">
        <v>2</v>
      </c>
      <c r="C176" s="114">
        <v>0.002296685208411182</v>
      </c>
      <c r="D176" s="112" t="s">
        <v>584</v>
      </c>
      <c r="E176" s="112" t="b">
        <v>0</v>
      </c>
      <c r="F176" s="112" t="b">
        <v>0</v>
      </c>
      <c r="G176" s="112" t="b">
        <v>0</v>
      </c>
    </row>
    <row r="177" spans="1:7" ht="15">
      <c r="A177" s="112" t="s">
        <v>1291</v>
      </c>
      <c r="B177" s="112">
        <v>2</v>
      </c>
      <c r="C177" s="114">
        <v>0.0026438939692692916</v>
      </c>
      <c r="D177" s="112" t="s">
        <v>584</v>
      </c>
      <c r="E177" s="112" t="b">
        <v>0</v>
      </c>
      <c r="F177" s="112" t="b">
        <v>0</v>
      </c>
      <c r="G177" s="112" t="b">
        <v>0</v>
      </c>
    </row>
    <row r="178" spans="1:7" ht="15">
      <c r="A178" s="112" t="s">
        <v>533</v>
      </c>
      <c r="B178" s="112">
        <v>2</v>
      </c>
      <c r="C178" s="114">
        <v>0.0026438939692692916</v>
      </c>
      <c r="D178" s="112" t="s">
        <v>584</v>
      </c>
      <c r="E178" s="112" t="b">
        <v>0</v>
      </c>
      <c r="F178" s="112" t="b">
        <v>0</v>
      </c>
      <c r="G178" s="112" t="b">
        <v>0</v>
      </c>
    </row>
    <row r="179" spans="1:7" ht="15">
      <c r="A179" s="112" t="s">
        <v>1292</v>
      </c>
      <c r="B179" s="112">
        <v>2</v>
      </c>
      <c r="C179" s="114">
        <v>0.002296685208411182</v>
      </c>
      <c r="D179" s="112" t="s">
        <v>584</v>
      </c>
      <c r="E179" s="112" t="b">
        <v>0</v>
      </c>
      <c r="F179" s="112" t="b">
        <v>0</v>
      </c>
      <c r="G179" s="112" t="b">
        <v>0</v>
      </c>
    </row>
    <row r="180" spans="1:7" ht="15">
      <c r="A180" s="112" t="s">
        <v>491</v>
      </c>
      <c r="B180" s="112">
        <v>2</v>
      </c>
      <c r="C180" s="114">
        <v>0.002296685208411182</v>
      </c>
      <c r="D180" s="112" t="s">
        <v>584</v>
      </c>
      <c r="E180" s="112" t="b">
        <v>0</v>
      </c>
      <c r="F180" s="112" t="b">
        <v>0</v>
      </c>
      <c r="G180" s="112" t="b">
        <v>0</v>
      </c>
    </row>
    <row r="181" spans="1:7" ht="15">
      <c r="A181" s="112" t="s">
        <v>521</v>
      </c>
      <c r="B181" s="112">
        <v>2</v>
      </c>
      <c r="C181" s="114">
        <v>0.002296685208411182</v>
      </c>
      <c r="D181" s="112" t="s">
        <v>584</v>
      </c>
      <c r="E181" s="112" t="b">
        <v>0</v>
      </c>
      <c r="F181" s="112" t="b">
        <v>0</v>
      </c>
      <c r="G181" s="112" t="b">
        <v>0</v>
      </c>
    </row>
    <row r="182" spans="1:7" ht="15">
      <c r="A182" s="112" t="s">
        <v>465</v>
      </c>
      <c r="B182" s="112">
        <v>2</v>
      </c>
      <c r="C182" s="114">
        <v>0.002296685208411182</v>
      </c>
      <c r="D182" s="112" t="s">
        <v>584</v>
      </c>
      <c r="E182" s="112" t="b">
        <v>0</v>
      </c>
      <c r="F182" s="112" t="b">
        <v>0</v>
      </c>
      <c r="G182" s="112" t="b">
        <v>0</v>
      </c>
    </row>
    <row r="183" spans="1:7" ht="15">
      <c r="A183" s="112" t="s">
        <v>566</v>
      </c>
      <c r="B183" s="112">
        <v>2</v>
      </c>
      <c r="C183" s="114">
        <v>0.002296685208411182</v>
      </c>
      <c r="D183" s="112" t="s">
        <v>584</v>
      </c>
      <c r="E183" s="112" t="b">
        <v>0</v>
      </c>
      <c r="F183" s="112" t="b">
        <v>0</v>
      </c>
      <c r="G183" s="112" t="b">
        <v>0</v>
      </c>
    </row>
    <row r="184" spans="1:7" ht="15">
      <c r="A184" s="112" t="s">
        <v>545</v>
      </c>
      <c r="B184" s="112">
        <v>2</v>
      </c>
      <c r="C184" s="114">
        <v>0.002296685208411182</v>
      </c>
      <c r="D184" s="112" t="s">
        <v>584</v>
      </c>
      <c r="E184" s="112" t="b">
        <v>0</v>
      </c>
      <c r="F184" s="112" t="b">
        <v>0</v>
      </c>
      <c r="G184" s="112" t="b">
        <v>0</v>
      </c>
    </row>
    <row r="185" spans="1:7" ht="15">
      <c r="A185" s="112" t="s">
        <v>1293</v>
      </c>
      <c r="B185" s="112">
        <v>2</v>
      </c>
      <c r="C185" s="114">
        <v>0.002296685208411182</v>
      </c>
      <c r="D185" s="112" t="s">
        <v>584</v>
      </c>
      <c r="E185" s="112" t="b">
        <v>0</v>
      </c>
      <c r="F185" s="112" t="b">
        <v>0</v>
      </c>
      <c r="G185" s="112" t="b">
        <v>0</v>
      </c>
    </row>
    <row r="186" spans="1:7" ht="15">
      <c r="A186" s="112" t="s">
        <v>474</v>
      </c>
      <c r="B186" s="112">
        <v>2</v>
      </c>
      <c r="C186" s="114">
        <v>0.002296685208411182</v>
      </c>
      <c r="D186" s="112" t="s">
        <v>584</v>
      </c>
      <c r="E186" s="112" t="b">
        <v>0</v>
      </c>
      <c r="F186" s="112" t="b">
        <v>0</v>
      </c>
      <c r="G186" s="112" t="b">
        <v>0</v>
      </c>
    </row>
    <row r="187" spans="1:7" ht="15">
      <c r="A187" s="112" t="s">
        <v>1294</v>
      </c>
      <c r="B187" s="112">
        <v>2</v>
      </c>
      <c r="C187" s="114">
        <v>0.002296685208411182</v>
      </c>
      <c r="D187" s="112" t="s">
        <v>584</v>
      </c>
      <c r="E187" s="112" t="b">
        <v>0</v>
      </c>
      <c r="F187" s="112" t="b">
        <v>0</v>
      </c>
      <c r="G187" s="112" t="b">
        <v>0</v>
      </c>
    </row>
    <row r="188" spans="1:7" ht="15">
      <c r="A188" s="112" t="s">
        <v>428</v>
      </c>
      <c r="B188" s="112">
        <v>2</v>
      </c>
      <c r="C188" s="114">
        <v>0.002296685208411182</v>
      </c>
      <c r="D188" s="112" t="s">
        <v>584</v>
      </c>
      <c r="E188" s="112" t="b">
        <v>0</v>
      </c>
      <c r="F188" s="112" t="b">
        <v>0</v>
      </c>
      <c r="G188" s="112" t="b">
        <v>0</v>
      </c>
    </row>
    <row r="189" spans="1:7" ht="15">
      <c r="A189" s="112" t="s">
        <v>525</v>
      </c>
      <c r="B189" s="112">
        <v>2</v>
      </c>
      <c r="C189" s="114">
        <v>0.002296685208411182</v>
      </c>
      <c r="D189" s="112" t="s">
        <v>584</v>
      </c>
      <c r="E189" s="112" t="b">
        <v>0</v>
      </c>
      <c r="F189" s="112" t="b">
        <v>0</v>
      </c>
      <c r="G189" s="112" t="b">
        <v>0</v>
      </c>
    </row>
    <row r="190" spans="1:7" ht="15">
      <c r="A190" s="112" t="s">
        <v>556</v>
      </c>
      <c r="B190" s="112">
        <v>2</v>
      </c>
      <c r="C190" s="114">
        <v>0.002296685208411182</v>
      </c>
      <c r="D190" s="112" t="s">
        <v>584</v>
      </c>
      <c r="E190" s="112" t="b">
        <v>0</v>
      </c>
      <c r="F190" s="112" t="b">
        <v>0</v>
      </c>
      <c r="G190" s="112" t="b">
        <v>0</v>
      </c>
    </row>
    <row r="191" spans="1:7" ht="15">
      <c r="A191" s="112" t="s">
        <v>477</v>
      </c>
      <c r="B191" s="112">
        <v>2</v>
      </c>
      <c r="C191" s="114">
        <v>0.002296685208411182</v>
      </c>
      <c r="D191" s="112" t="s">
        <v>584</v>
      </c>
      <c r="E191" s="112" t="b">
        <v>0</v>
      </c>
      <c r="F191" s="112" t="b">
        <v>0</v>
      </c>
      <c r="G191" s="112" t="b">
        <v>0</v>
      </c>
    </row>
    <row r="192" spans="1:7" ht="15">
      <c r="A192" s="112" t="s">
        <v>1295</v>
      </c>
      <c r="B192" s="112">
        <v>2</v>
      </c>
      <c r="C192" s="114">
        <v>0.002296685208411182</v>
      </c>
      <c r="D192" s="112" t="s">
        <v>584</v>
      </c>
      <c r="E192" s="112" t="b">
        <v>0</v>
      </c>
      <c r="F192" s="112" t="b">
        <v>0</v>
      </c>
      <c r="G192" s="112" t="b">
        <v>0</v>
      </c>
    </row>
    <row r="193" spans="1:7" ht="15">
      <c r="A193" s="112" t="s">
        <v>414</v>
      </c>
      <c r="B193" s="112">
        <v>2</v>
      </c>
      <c r="C193" s="114">
        <v>0.002296685208411182</v>
      </c>
      <c r="D193" s="112" t="s">
        <v>584</v>
      </c>
      <c r="E193" s="112" t="b">
        <v>0</v>
      </c>
      <c r="F193" s="112" t="b">
        <v>1</v>
      </c>
      <c r="G193" s="112" t="b">
        <v>0</v>
      </c>
    </row>
    <row r="194" spans="1:7" ht="15">
      <c r="A194" s="112" t="s">
        <v>426</v>
      </c>
      <c r="B194" s="112">
        <v>2</v>
      </c>
      <c r="C194" s="114">
        <v>0.002296685208411182</v>
      </c>
      <c r="D194" s="112" t="s">
        <v>584</v>
      </c>
      <c r="E194" s="112" t="b">
        <v>0</v>
      </c>
      <c r="F194" s="112" t="b">
        <v>0</v>
      </c>
      <c r="G194" s="112" t="b">
        <v>0</v>
      </c>
    </row>
    <row r="195" spans="1:7" ht="15">
      <c r="A195" s="112" t="s">
        <v>459</v>
      </c>
      <c r="B195" s="112">
        <v>2</v>
      </c>
      <c r="C195" s="114">
        <v>0.002296685208411182</v>
      </c>
      <c r="D195" s="112" t="s">
        <v>584</v>
      </c>
      <c r="E195" s="112" t="b">
        <v>0</v>
      </c>
      <c r="F195" s="112" t="b">
        <v>1</v>
      </c>
      <c r="G195" s="112" t="b">
        <v>0</v>
      </c>
    </row>
    <row r="196" spans="1:7" ht="15">
      <c r="A196" s="112" t="s">
        <v>456</v>
      </c>
      <c r="B196" s="112">
        <v>2</v>
      </c>
      <c r="C196" s="114">
        <v>0.002296685208411182</v>
      </c>
      <c r="D196" s="112" t="s">
        <v>584</v>
      </c>
      <c r="E196" s="112" t="b">
        <v>0</v>
      </c>
      <c r="F196" s="112" t="b">
        <v>0</v>
      </c>
      <c r="G196" s="112" t="b">
        <v>0</v>
      </c>
    </row>
    <row r="197" spans="1:7" ht="15">
      <c r="A197" s="112" t="s">
        <v>513</v>
      </c>
      <c r="B197" s="112">
        <v>2</v>
      </c>
      <c r="C197" s="114">
        <v>0.002296685208411182</v>
      </c>
      <c r="D197" s="112" t="s">
        <v>584</v>
      </c>
      <c r="E197" s="112" t="b">
        <v>0</v>
      </c>
      <c r="F197" s="112" t="b">
        <v>1</v>
      </c>
      <c r="G197" s="112" t="b">
        <v>0</v>
      </c>
    </row>
    <row r="198" spans="1:7" ht="15">
      <c r="A198" s="112" t="s">
        <v>503</v>
      </c>
      <c r="B198" s="112">
        <v>2</v>
      </c>
      <c r="C198" s="114">
        <v>0.002296685208411182</v>
      </c>
      <c r="D198" s="112" t="s">
        <v>584</v>
      </c>
      <c r="E198" s="112" t="b">
        <v>0</v>
      </c>
      <c r="F198" s="112" t="b">
        <v>0</v>
      </c>
      <c r="G198" s="112" t="b">
        <v>0</v>
      </c>
    </row>
    <row r="199" spans="1:7" ht="15">
      <c r="A199" s="112" t="s">
        <v>1296</v>
      </c>
      <c r="B199" s="112">
        <v>2</v>
      </c>
      <c r="C199" s="114">
        <v>0.002296685208411182</v>
      </c>
      <c r="D199" s="112" t="s">
        <v>584</v>
      </c>
      <c r="E199" s="112" t="b">
        <v>0</v>
      </c>
      <c r="F199" s="112" t="b">
        <v>0</v>
      </c>
      <c r="G199" s="112" t="b">
        <v>0</v>
      </c>
    </row>
    <row r="200" spans="1:7" ht="15">
      <c r="A200" s="112" t="s">
        <v>432</v>
      </c>
      <c r="B200" s="112">
        <v>2</v>
      </c>
      <c r="C200" s="114">
        <v>0.002296685208411182</v>
      </c>
      <c r="D200" s="112" t="s">
        <v>584</v>
      </c>
      <c r="E200" s="112" t="b">
        <v>0</v>
      </c>
      <c r="F200" s="112" t="b">
        <v>0</v>
      </c>
      <c r="G200" s="112" t="b">
        <v>0</v>
      </c>
    </row>
    <row r="201" spans="1:7" ht="15">
      <c r="A201" s="112" t="s">
        <v>386</v>
      </c>
      <c r="B201" s="112">
        <v>2</v>
      </c>
      <c r="C201" s="114">
        <v>0.002296685208411182</v>
      </c>
      <c r="D201" s="112" t="s">
        <v>584</v>
      </c>
      <c r="E201" s="112" t="b">
        <v>0</v>
      </c>
      <c r="F201" s="112" t="b">
        <v>0</v>
      </c>
      <c r="G201" s="112" t="b">
        <v>0</v>
      </c>
    </row>
    <row r="202" spans="1:7" ht="15">
      <c r="A202" s="112" t="s">
        <v>1297</v>
      </c>
      <c r="B202" s="112">
        <v>2</v>
      </c>
      <c r="C202" s="114">
        <v>0.002296685208411182</v>
      </c>
      <c r="D202" s="112" t="s">
        <v>584</v>
      </c>
      <c r="E202" s="112" t="b">
        <v>0</v>
      </c>
      <c r="F202" s="112" t="b">
        <v>0</v>
      </c>
      <c r="G202" s="112" t="b">
        <v>0</v>
      </c>
    </row>
    <row r="203" spans="1:7" ht="15">
      <c r="A203" s="112" t="s">
        <v>1298</v>
      </c>
      <c r="B203" s="112">
        <v>2</v>
      </c>
      <c r="C203" s="114">
        <v>0.002296685208411182</v>
      </c>
      <c r="D203" s="112" t="s">
        <v>584</v>
      </c>
      <c r="E203" s="112" t="b">
        <v>0</v>
      </c>
      <c r="F203" s="112" t="b">
        <v>0</v>
      </c>
      <c r="G203" s="112" t="b">
        <v>0</v>
      </c>
    </row>
    <row r="204" spans="1:7" ht="15">
      <c r="A204" s="112" t="s">
        <v>1299</v>
      </c>
      <c r="B204" s="112">
        <v>2</v>
      </c>
      <c r="C204" s="114">
        <v>0.002296685208411182</v>
      </c>
      <c r="D204" s="112" t="s">
        <v>584</v>
      </c>
      <c r="E204" s="112" t="b">
        <v>0</v>
      </c>
      <c r="F204" s="112" t="b">
        <v>1</v>
      </c>
      <c r="G204" s="112" t="b">
        <v>0</v>
      </c>
    </row>
    <row r="205" spans="1:7" ht="15">
      <c r="A205" s="112" t="s">
        <v>560</v>
      </c>
      <c r="B205" s="112">
        <v>2</v>
      </c>
      <c r="C205" s="114">
        <v>0.002296685208411182</v>
      </c>
      <c r="D205" s="112" t="s">
        <v>584</v>
      </c>
      <c r="E205" s="112" t="b">
        <v>0</v>
      </c>
      <c r="F205" s="112" t="b">
        <v>0</v>
      </c>
      <c r="G205" s="112" t="b">
        <v>0</v>
      </c>
    </row>
    <row r="206" spans="1:7" ht="15">
      <c r="A206" s="112" t="s">
        <v>1300</v>
      </c>
      <c r="B206" s="112">
        <v>2</v>
      </c>
      <c r="C206" s="114">
        <v>0.002296685208411182</v>
      </c>
      <c r="D206" s="112" t="s">
        <v>584</v>
      </c>
      <c r="E206" s="112" t="b">
        <v>0</v>
      </c>
      <c r="F206" s="112" t="b">
        <v>0</v>
      </c>
      <c r="G206" s="112" t="b">
        <v>0</v>
      </c>
    </row>
    <row r="207" spans="1:7" ht="15">
      <c r="A207" s="112" t="s">
        <v>527</v>
      </c>
      <c r="B207" s="112">
        <v>2</v>
      </c>
      <c r="C207" s="114">
        <v>0.002296685208411182</v>
      </c>
      <c r="D207" s="112" t="s">
        <v>584</v>
      </c>
      <c r="E207" s="112" t="b">
        <v>1</v>
      </c>
      <c r="F207" s="112" t="b">
        <v>0</v>
      </c>
      <c r="G207" s="112" t="b">
        <v>0</v>
      </c>
    </row>
    <row r="208" spans="1:7" ht="15">
      <c r="A208" s="112" t="s">
        <v>1301</v>
      </c>
      <c r="B208" s="112">
        <v>2</v>
      </c>
      <c r="C208" s="114">
        <v>0.0026438939692692916</v>
      </c>
      <c r="D208" s="112" t="s">
        <v>584</v>
      </c>
      <c r="E208" s="112" t="b">
        <v>0</v>
      </c>
      <c r="F208" s="112" t="b">
        <v>0</v>
      </c>
      <c r="G208" s="112" t="b">
        <v>0</v>
      </c>
    </row>
    <row r="209" spans="1:7" ht="15">
      <c r="A209" s="112" t="s">
        <v>453</v>
      </c>
      <c r="B209" s="112">
        <v>2</v>
      </c>
      <c r="C209" s="114">
        <v>0.002296685208411182</v>
      </c>
      <c r="D209" s="112" t="s">
        <v>584</v>
      </c>
      <c r="E209" s="112" t="b">
        <v>0</v>
      </c>
      <c r="F209" s="112" t="b">
        <v>0</v>
      </c>
      <c r="G209" s="112" t="b">
        <v>0</v>
      </c>
    </row>
    <row r="210" spans="1:7" ht="15">
      <c r="A210" s="112" t="s">
        <v>1302</v>
      </c>
      <c r="B210" s="112">
        <v>2</v>
      </c>
      <c r="C210" s="114">
        <v>0.0026438939692692916</v>
      </c>
      <c r="D210" s="112" t="s">
        <v>584</v>
      </c>
      <c r="E210" s="112" t="b">
        <v>0</v>
      </c>
      <c r="F210" s="112" t="b">
        <v>0</v>
      </c>
      <c r="G210" s="112" t="b">
        <v>0</v>
      </c>
    </row>
    <row r="211" spans="1:7" ht="15">
      <c r="A211" s="112" t="s">
        <v>519</v>
      </c>
      <c r="B211" s="112">
        <v>2</v>
      </c>
      <c r="C211" s="114">
        <v>0.002296685208411182</v>
      </c>
      <c r="D211" s="112" t="s">
        <v>584</v>
      </c>
      <c r="E211" s="112" t="b">
        <v>0</v>
      </c>
      <c r="F211" s="112" t="b">
        <v>0</v>
      </c>
      <c r="G211" s="112" t="b">
        <v>0</v>
      </c>
    </row>
    <row r="212" spans="1:7" ht="15">
      <c r="A212" s="112" t="s">
        <v>1303</v>
      </c>
      <c r="B212" s="112">
        <v>2</v>
      </c>
      <c r="C212" s="114">
        <v>0.002296685208411182</v>
      </c>
      <c r="D212" s="112" t="s">
        <v>584</v>
      </c>
      <c r="E212" s="112" t="b">
        <v>0</v>
      </c>
      <c r="F212" s="112" t="b">
        <v>0</v>
      </c>
      <c r="G212" s="112" t="b">
        <v>0</v>
      </c>
    </row>
    <row r="213" spans="1:7" ht="15">
      <c r="A213" s="112" t="s">
        <v>1304</v>
      </c>
      <c r="B213" s="112">
        <v>2</v>
      </c>
      <c r="C213" s="114">
        <v>0.002296685208411182</v>
      </c>
      <c r="D213" s="112" t="s">
        <v>584</v>
      </c>
      <c r="E213" s="112" t="b">
        <v>0</v>
      </c>
      <c r="F213" s="112" t="b">
        <v>0</v>
      </c>
      <c r="G213" s="112" t="b">
        <v>0</v>
      </c>
    </row>
    <row r="214" spans="1:7" ht="15">
      <c r="A214" s="112" t="s">
        <v>469</v>
      </c>
      <c r="B214" s="112">
        <v>2</v>
      </c>
      <c r="C214" s="114">
        <v>0.002296685208411182</v>
      </c>
      <c r="D214" s="112" t="s">
        <v>584</v>
      </c>
      <c r="E214" s="112" t="b">
        <v>0</v>
      </c>
      <c r="F214" s="112" t="b">
        <v>0</v>
      </c>
      <c r="G214" s="112" t="b">
        <v>0</v>
      </c>
    </row>
    <row r="215" spans="1:7" ht="15">
      <c r="A215" s="112" t="s">
        <v>557</v>
      </c>
      <c r="B215" s="112">
        <v>2</v>
      </c>
      <c r="C215" s="114">
        <v>0.0026438939692692916</v>
      </c>
      <c r="D215" s="112" t="s">
        <v>584</v>
      </c>
      <c r="E215" s="112" t="b">
        <v>0</v>
      </c>
      <c r="F215" s="112" t="b">
        <v>0</v>
      </c>
      <c r="G215" s="112" t="b">
        <v>0</v>
      </c>
    </row>
    <row r="216" spans="1:7" ht="15">
      <c r="A216" s="112" t="s">
        <v>1305</v>
      </c>
      <c r="B216" s="112">
        <v>2</v>
      </c>
      <c r="C216" s="114">
        <v>0.002296685208411182</v>
      </c>
      <c r="D216" s="112" t="s">
        <v>584</v>
      </c>
      <c r="E216" s="112" t="b">
        <v>0</v>
      </c>
      <c r="F216" s="112" t="b">
        <v>0</v>
      </c>
      <c r="G216" s="112" t="b">
        <v>0</v>
      </c>
    </row>
    <row r="217" spans="1:7" ht="15">
      <c r="A217" s="112" t="s">
        <v>461</v>
      </c>
      <c r="B217" s="112">
        <v>2</v>
      </c>
      <c r="C217" s="114">
        <v>0.002296685208411182</v>
      </c>
      <c r="D217" s="112" t="s">
        <v>584</v>
      </c>
      <c r="E217" s="112" t="b">
        <v>0</v>
      </c>
      <c r="F217" s="112" t="b">
        <v>0</v>
      </c>
      <c r="G217" s="112" t="b">
        <v>0</v>
      </c>
    </row>
    <row r="218" spans="1:7" ht="15">
      <c r="A218" s="112" t="s">
        <v>418</v>
      </c>
      <c r="B218" s="112">
        <v>2</v>
      </c>
      <c r="C218" s="114">
        <v>0.002296685208411182</v>
      </c>
      <c r="D218" s="112" t="s">
        <v>584</v>
      </c>
      <c r="E218" s="112" t="b">
        <v>0</v>
      </c>
      <c r="F218" s="112" t="b">
        <v>0</v>
      </c>
      <c r="G218" s="112" t="b">
        <v>0</v>
      </c>
    </row>
    <row r="219" spans="1:7" ht="15">
      <c r="A219" s="112" t="s">
        <v>549</v>
      </c>
      <c r="B219" s="112">
        <v>2</v>
      </c>
      <c r="C219" s="114">
        <v>0.002296685208411182</v>
      </c>
      <c r="D219" s="112" t="s">
        <v>584</v>
      </c>
      <c r="E219" s="112" t="b">
        <v>0</v>
      </c>
      <c r="F219" s="112" t="b">
        <v>0</v>
      </c>
      <c r="G219" s="112" t="b">
        <v>0</v>
      </c>
    </row>
    <row r="220" spans="1:7" ht="15">
      <c r="A220" s="112" t="s">
        <v>480</v>
      </c>
      <c r="B220" s="112">
        <v>2</v>
      </c>
      <c r="C220" s="114">
        <v>0.002296685208411182</v>
      </c>
      <c r="D220" s="112" t="s">
        <v>584</v>
      </c>
      <c r="E220" s="112" t="b">
        <v>0</v>
      </c>
      <c r="F220" s="112" t="b">
        <v>0</v>
      </c>
      <c r="G220" s="112" t="b">
        <v>0</v>
      </c>
    </row>
    <row r="221" spans="1:7" ht="15">
      <c r="A221" s="112" t="s">
        <v>505</v>
      </c>
      <c r="B221" s="112">
        <v>2</v>
      </c>
      <c r="C221" s="114">
        <v>0.002296685208411182</v>
      </c>
      <c r="D221" s="112" t="s">
        <v>584</v>
      </c>
      <c r="E221" s="112" t="b">
        <v>0</v>
      </c>
      <c r="F221" s="112" t="b">
        <v>0</v>
      </c>
      <c r="G221" s="112" t="b">
        <v>0</v>
      </c>
    </row>
    <row r="222" spans="1:7" ht="15">
      <c r="A222" s="112" t="s">
        <v>1306</v>
      </c>
      <c r="B222" s="112">
        <v>2</v>
      </c>
      <c r="C222" s="114">
        <v>0.002296685208411182</v>
      </c>
      <c r="D222" s="112" t="s">
        <v>584</v>
      </c>
      <c r="E222" s="112" t="b">
        <v>0</v>
      </c>
      <c r="F222" s="112" t="b">
        <v>0</v>
      </c>
      <c r="G222" s="112" t="b">
        <v>0</v>
      </c>
    </row>
    <row r="223" spans="1:7" ht="15">
      <c r="A223" s="112" t="s">
        <v>475</v>
      </c>
      <c r="B223" s="112">
        <v>2</v>
      </c>
      <c r="C223" s="114">
        <v>0.002296685208411182</v>
      </c>
      <c r="D223" s="112" t="s">
        <v>584</v>
      </c>
      <c r="E223" s="112" t="b">
        <v>0</v>
      </c>
      <c r="F223" s="112" t="b">
        <v>0</v>
      </c>
      <c r="G223" s="112" t="b">
        <v>0</v>
      </c>
    </row>
    <row r="224" spans="1:7" ht="15">
      <c r="A224" s="112" t="s">
        <v>1307</v>
      </c>
      <c r="B224" s="112">
        <v>2</v>
      </c>
      <c r="C224" s="114">
        <v>0.002296685208411182</v>
      </c>
      <c r="D224" s="112" t="s">
        <v>584</v>
      </c>
      <c r="E224" s="112" t="b">
        <v>0</v>
      </c>
      <c r="F224" s="112" t="b">
        <v>1</v>
      </c>
      <c r="G224" s="112" t="b">
        <v>0</v>
      </c>
    </row>
    <row r="225" spans="1:7" ht="15">
      <c r="A225" s="112" t="s">
        <v>404</v>
      </c>
      <c r="B225" s="112">
        <v>2</v>
      </c>
      <c r="C225" s="114">
        <v>0.002296685208411182</v>
      </c>
      <c r="D225" s="112" t="s">
        <v>584</v>
      </c>
      <c r="E225" s="112" t="b">
        <v>0</v>
      </c>
      <c r="F225" s="112" t="b">
        <v>0</v>
      </c>
      <c r="G225" s="112" t="b">
        <v>0</v>
      </c>
    </row>
    <row r="226" spans="1:7" ht="15">
      <c r="A226" s="112" t="s">
        <v>514</v>
      </c>
      <c r="B226" s="112">
        <v>2</v>
      </c>
      <c r="C226" s="114">
        <v>0.002296685208411182</v>
      </c>
      <c r="D226" s="112" t="s">
        <v>584</v>
      </c>
      <c r="E226" s="112" t="b">
        <v>1</v>
      </c>
      <c r="F226" s="112" t="b">
        <v>0</v>
      </c>
      <c r="G226" s="112" t="b">
        <v>0</v>
      </c>
    </row>
    <row r="227" spans="1:7" ht="15">
      <c r="A227" s="112" t="s">
        <v>376</v>
      </c>
      <c r="B227" s="112">
        <v>2</v>
      </c>
      <c r="C227" s="114">
        <v>0.002296685208411182</v>
      </c>
      <c r="D227" s="112" t="s">
        <v>584</v>
      </c>
      <c r="E227" s="112" t="b">
        <v>0</v>
      </c>
      <c r="F227" s="112" t="b">
        <v>0</v>
      </c>
      <c r="G227" s="112" t="b">
        <v>0</v>
      </c>
    </row>
    <row r="228" spans="1:7" ht="15">
      <c r="A228" s="112" t="s">
        <v>401</v>
      </c>
      <c r="B228" s="112">
        <v>2</v>
      </c>
      <c r="C228" s="114">
        <v>0.002296685208411182</v>
      </c>
      <c r="D228" s="112" t="s">
        <v>584</v>
      </c>
      <c r="E228" s="112" t="b">
        <v>0</v>
      </c>
      <c r="F228" s="112" t="b">
        <v>0</v>
      </c>
      <c r="G228" s="112" t="b">
        <v>0</v>
      </c>
    </row>
    <row r="229" spans="1:7" ht="15">
      <c r="A229" s="112" t="s">
        <v>442</v>
      </c>
      <c r="B229" s="112">
        <v>2</v>
      </c>
      <c r="C229" s="114">
        <v>0.002296685208411182</v>
      </c>
      <c r="D229" s="112" t="s">
        <v>584</v>
      </c>
      <c r="E229" s="112" t="b">
        <v>0</v>
      </c>
      <c r="F229" s="112" t="b">
        <v>0</v>
      </c>
      <c r="G229" s="112" t="b">
        <v>0</v>
      </c>
    </row>
    <row r="230" spans="1:7" ht="15">
      <c r="A230" s="112" t="s">
        <v>516</v>
      </c>
      <c r="B230" s="112">
        <v>2</v>
      </c>
      <c r="C230" s="114">
        <v>0.002296685208411182</v>
      </c>
      <c r="D230" s="112" t="s">
        <v>584</v>
      </c>
      <c r="E230" s="112" t="b">
        <v>1</v>
      </c>
      <c r="F230" s="112" t="b">
        <v>0</v>
      </c>
      <c r="G230" s="112" t="b">
        <v>0</v>
      </c>
    </row>
    <row r="231" spans="1:7" ht="15">
      <c r="A231" s="112" t="s">
        <v>1308</v>
      </c>
      <c r="B231" s="112">
        <v>2</v>
      </c>
      <c r="C231" s="114">
        <v>0.002296685208411182</v>
      </c>
      <c r="D231" s="112" t="s">
        <v>584</v>
      </c>
      <c r="E231" s="112" t="b">
        <v>0</v>
      </c>
      <c r="F231" s="112" t="b">
        <v>0</v>
      </c>
      <c r="G231" s="112" t="b">
        <v>0</v>
      </c>
    </row>
    <row r="232" spans="1:7" ht="15">
      <c r="A232" s="112" t="s">
        <v>325</v>
      </c>
      <c r="B232" s="112">
        <v>2</v>
      </c>
      <c r="C232" s="114">
        <v>0.002296685208411182</v>
      </c>
      <c r="D232" s="112" t="s">
        <v>584</v>
      </c>
      <c r="E232" s="112" t="b">
        <v>0</v>
      </c>
      <c r="F232" s="112" t="b">
        <v>0</v>
      </c>
      <c r="G232" s="112" t="b">
        <v>0</v>
      </c>
    </row>
    <row r="233" spans="1:7" ht="15">
      <c r="A233" s="112" t="s">
        <v>1309</v>
      </c>
      <c r="B233" s="112">
        <v>2</v>
      </c>
      <c r="C233" s="114">
        <v>0.002296685208411182</v>
      </c>
      <c r="D233" s="112" t="s">
        <v>584</v>
      </c>
      <c r="E233" s="112" t="b">
        <v>0</v>
      </c>
      <c r="F233" s="112" t="b">
        <v>0</v>
      </c>
      <c r="G233" s="112" t="b">
        <v>0</v>
      </c>
    </row>
    <row r="234" spans="1:7" ht="15">
      <c r="A234" s="112" t="s">
        <v>1310</v>
      </c>
      <c r="B234" s="112">
        <v>2</v>
      </c>
      <c r="C234" s="114">
        <v>0.002296685208411182</v>
      </c>
      <c r="D234" s="112" t="s">
        <v>584</v>
      </c>
      <c r="E234" s="112" t="b">
        <v>0</v>
      </c>
      <c r="F234" s="112" t="b">
        <v>0</v>
      </c>
      <c r="G234" s="112" t="b">
        <v>0</v>
      </c>
    </row>
    <row r="235" spans="1:7" ht="15">
      <c r="A235" s="112" t="s">
        <v>427</v>
      </c>
      <c r="B235" s="112">
        <v>2</v>
      </c>
      <c r="C235" s="114">
        <v>0.002296685208411182</v>
      </c>
      <c r="D235" s="112" t="s">
        <v>584</v>
      </c>
      <c r="E235" s="112" t="b">
        <v>0</v>
      </c>
      <c r="F235" s="112" t="b">
        <v>0</v>
      </c>
      <c r="G235" s="112" t="b">
        <v>0</v>
      </c>
    </row>
    <row r="236" spans="1:7" ht="15">
      <c r="A236" s="112" t="s">
        <v>492</v>
      </c>
      <c r="B236" s="112">
        <v>2</v>
      </c>
      <c r="C236" s="114">
        <v>0.002296685208411182</v>
      </c>
      <c r="D236" s="112" t="s">
        <v>584</v>
      </c>
      <c r="E236" s="112" t="b">
        <v>0</v>
      </c>
      <c r="F236" s="112" t="b">
        <v>1</v>
      </c>
      <c r="G236" s="112" t="b">
        <v>0</v>
      </c>
    </row>
    <row r="237" spans="1:7" ht="15">
      <c r="A237" s="112" t="s">
        <v>1311</v>
      </c>
      <c r="B237" s="112">
        <v>2</v>
      </c>
      <c r="C237" s="114">
        <v>0.002296685208411182</v>
      </c>
      <c r="D237" s="112" t="s">
        <v>584</v>
      </c>
      <c r="E237" s="112" t="b">
        <v>0</v>
      </c>
      <c r="F237" s="112" t="b">
        <v>0</v>
      </c>
      <c r="G237" s="112" t="b">
        <v>0</v>
      </c>
    </row>
    <row r="238" spans="1:7" ht="15">
      <c r="A238" s="112" t="s">
        <v>1312</v>
      </c>
      <c r="B238" s="112">
        <v>2</v>
      </c>
      <c r="C238" s="114">
        <v>0.002296685208411182</v>
      </c>
      <c r="D238" s="112" t="s">
        <v>584</v>
      </c>
      <c r="E238" s="112" t="b">
        <v>0</v>
      </c>
      <c r="F238" s="112" t="b">
        <v>0</v>
      </c>
      <c r="G238" s="112" t="b">
        <v>0</v>
      </c>
    </row>
    <row r="239" spans="1:7" ht="15">
      <c r="A239" s="112" t="s">
        <v>1313</v>
      </c>
      <c r="B239" s="112">
        <v>2</v>
      </c>
      <c r="C239" s="114">
        <v>0.002296685208411182</v>
      </c>
      <c r="D239" s="112" t="s">
        <v>584</v>
      </c>
      <c r="E239" s="112" t="b">
        <v>0</v>
      </c>
      <c r="F239" s="112" t="b">
        <v>0</v>
      </c>
      <c r="G239" s="112" t="b">
        <v>0</v>
      </c>
    </row>
    <row r="240" spans="1:7" ht="15">
      <c r="A240" s="112" t="s">
        <v>559</v>
      </c>
      <c r="B240" s="112">
        <v>2</v>
      </c>
      <c r="C240" s="114">
        <v>0.002296685208411182</v>
      </c>
      <c r="D240" s="112" t="s">
        <v>584</v>
      </c>
      <c r="E240" s="112" t="b">
        <v>0</v>
      </c>
      <c r="F240" s="112" t="b">
        <v>0</v>
      </c>
      <c r="G240" s="112" t="b">
        <v>0</v>
      </c>
    </row>
    <row r="241" spans="1:7" ht="15">
      <c r="A241" s="112" t="s">
        <v>1314</v>
      </c>
      <c r="B241" s="112">
        <v>2</v>
      </c>
      <c r="C241" s="114">
        <v>0.002296685208411182</v>
      </c>
      <c r="D241" s="112" t="s">
        <v>584</v>
      </c>
      <c r="E241" s="112" t="b">
        <v>0</v>
      </c>
      <c r="F241" s="112" t="b">
        <v>0</v>
      </c>
      <c r="G241" s="112" t="b">
        <v>0</v>
      </c>
    </row>
    <row r="242" spans="1:7" ht="15">
      <c r="A242" s="112" t="s">
        <v>463</v>
      </c>
      <c r="B242" s="112">
        <v>2</v>
      </c>
      <c r="C242" s="114">
        <v>0.002296685208411182</v>
      </c>
      <c r="D242" s="112" t="s">
        <v>584</v>
      </c>
      <c r="E242" s="112" t="b">
        <v>0</v>
      </c>
      <c r="F242" s="112" t="b">
        <v>0</v>
      </c>
      <c r="G242" s="112" t="b">
        <v>0</v>
      </c>
    </row>
    <row r="243" spans="1:7" ht="15">
      <c r="A243" s="112" t="s">
        <v>1315</v>
      </c>
      <c r="B243" s="112">
        <v>2</v>
      </c>
      <c r="C243" s="114">
        <v>0.002296685208411182</v>
      </c>
      <c r="D243" s="112" t="s">
        <v>584</v>
      </c>
      <c r="E243" s="112" t="b">
        <v>0</v>
      </c>
      <c r="F243" s="112" t="b">
        <v>1</v>
      </c>
      <c r="G243" s="112" t="b">
        <v>0</v>
      </c>
    </row>
    <row r="244" spans="1:7" ht="15">
      <c r="A244" s="112" t="s">
        <v>497</v>
      </c>
      <c r="B244" s="112">
        <v>2</v>
      </c>
      <c r="C244" s="114">
        <v>0.002296685208411182</v>
      </c>
      <c r="D244" s="112" t="s">
        <v>584</v>
      </c>
      <c r="E244" s="112" t="b">
        <v>1</v>
      </c>
      <c r="F244" s="112" t="b">
        <v>0</v>
      </c>
      <c r="G244" s="112" t="b">
        <v>0</v>
      </c>
    </row>
    <row r="245" spans="1:7" ht="15">
      <c r="A245" s="112" t="s">
        <v>455</v>
      </c>
      <c r="B245" s="112">
        <v>2</v>
      </c>
      <c r="C245" s="114">
        <v>0.002296685208411182</v>
      </c>
      <c r="D245" s="112" t="s">
        <v>584</v>
      </c>
      <c r="E245" s="112" t="b">
        <v>0</v>
      </c>
      <c r="F245" s="112" t="b">
        <v>1</v>
      </c>
      <c r="G245" s="112" t="b">
        <v>0</v>
      </c>
    </row>
    <row r="246" spans="1:7" ht="15">
      <c r="A246" s="112" t="s">
        <v>431</v>
      </c>
      <c r="B246" s="112">
        <v>2</v>
      </c>
      <c r="C246" s="114">
        <v>0.002296685208411182</v>
      </c>
      <c r="D246" s="112" t="s">
        <v>584</v>
      </c>
      <c r="E246" s="112" t="b">
        <v>0</v>
      </c>
      <c r="F246" s="112" t="b">
        <v>0</v>
      </c>
      <c r="G246" s="112" t="b">
        <v>0</v>
      </c>
    </row>
    <row r="247" spans="1:7" ht="15">
      <c r="A247" s="112" t="s">
        <v>408</v>
      </c>
      <c r="B247" s="112">
        <v>2</v>
      </c>
      <c r="C247" s="114">
        <v>0.002296685208411182</v>
      </c>
      <c r="D247" s="112" t="s">
        <v>584</v>
      </c>
      <c r="E247" s="112" t="b">
        <v>1</v>
      </c>
      <c r="F247" s="112" t="b">
        <v>0</v>
      </c>
      <c r="G247" s="112" t="b">
        <v>0</v>
      </c>
    </row>
    <row r="248" spans="1:7" ht="15">
      <c r="A248" s="112" t="s">
        <v>390</v>
      </c>
      <c r="B248" s="112">
        <v>2</v>
      </c>
      <c r="C248" s="114">
        <v>0.002296685208411182</v>
      </c>
      <c r="D248" s="112" t="s">
        <v>584</v>
      </c>
      <c r="E248" s="112" t="b">
        <v>0</v>
      </c>
      <c r="F248" s="112" t="b">
        <v>0</v>
      </c>
      <c r="G248" s="112" t="b">
        <v>0</v>
      </c>
    </row>
    <row r="249" spans="1:7" ht="15">
      <c r="A249" s="112" t="s">
        <v>1316</v>
      </c>
      <c r="B249" s="112">
        <v>2</v>
      </c>
      <c r="C249" s="114">
        <v>0.002296685208411182</v>
      </c>
      <c r="D249" s="112" t="s">
        <v>584</v>
      </c>
      <c r="E249" s="112" t="b">
        <v>0</v>
      </c>
      <c r="F249" s="112" t="b">
        <v>0</v>
      </c>
      <c r="G249" s="112" t="b">
        <v>0</v>
      </c>
    </row>
    <row r="250" spans="1:7" ht="15">
      <c r="A250" s="112" t="s">
        <v>1317</v>
      </c>
      <c r="B250" s="112">
        <v>2</v>
      </c>
      <c r="C250" s="114">
        <v>0.002296685208411182</v>
      </c>
      <c r="D250" s="112" t="s">
        <v>584</v>
      </c>
      <c r="E250" s="112" t="b">
        <v>0</v>
      </c>
      <c r="F250" s="112" t="b">
        <v>1</v>
      </c>
      <c r="G250" s="112" t="b">
        <v>0</v>
      </c>
    </row>
    <row r="251" spans="1:7" ht="15">
      <c r="A251" s="112" t="s">
        <v>460</v>
      </c>
      <c r="B251" s="112">
        <v>2</v>
      </c>
      <c r="C251" s="114">
        <v>0.002296685208411182</v>
      </c>
      <c r="D251" s="112" t="s">
        <v>584</v>
      </c>
      <c r="E251" s="112" t="b">
        <v>0</v>
      </c>
      <c r="F251" s="112" t="b">
        <v>0</v>
      </c>
      <c r="G251" s="112" t="b">
        <v>0</v>
      </c>
    </row>
    <row r="252" spans="1:7" ht="15">
      <c r="A252" s="112" t="s">
        <v>578</v>
      </c>
      <c r="B252" s="112">
        <v>2</v>
      </c>
      <c r="C252" s="114">
        <v>0.002296685208411182</v>
      </c>
      <c r="D252" s="112" t="s">
        <v>584</v>
      </c>
      <c r="E252" s="112" t="b">
        <v>0</v>
      </c>
      <c r="F252" s="112" t="b">
        <v>0</v>
      </c>
      <c r="G252" s="112" t="b">
        <v>0</v>
      </c>
    </row>
    <row r="253" spans="1:7" ht="15">
      <c r="A253" s="112" t="s">
        <v>1132</v>
      </c>
      <c r="B253" s="112">
        <v>2</v>
      </c>
      <c r="C253" s="114">
        <v>0.002296685208411182</v>
      </c>
      <c r="D253" s="112" t="s">
        <v>584</v>
      </c>
      <c r="E253" s="112" t="b">
        <v>0</v>
      </c>
      <c r="F253" s="112" t="b">
        <v>0</v>
      </c>
      <c r="G253" s="112" t="b">
        <v>0</v>
      </c>
    </row>
    <row r="254" spans="1:7" ht="15">
      <c r="A254" s="112" t="s">
        <v>472</v>
      </c>
      <c r="B254" s="112">
        <v>2</v>
      </c>
      <c r="C254" s="114">
        <v>0.002296685208411182</v>
      </c>
      <c r="D254" s="112" t="s">
        <v>584</v>
      </c>
      <c r="E254" s="112" t="b">
        <v>1</v>
      </c>
      <c r="F254" s="112" t="b">
        <v>0</v>
      </c>
      <c r="G254" s="112" t="b">
        <v>0</v>
      </c>
    </row>
    <row r="255" spans="1:7" ht="15">
      <c r="A255" s="112" t="s">
        <v>1318</v>
      </c>
      <c r="B255" s="112">
        <v>2</v>
      </c>
      <c r="C255" s="114">
        <v>0.002296685208411182</v>
      </c>
      <c r="D255" s="112" t="s">
        <v>584</v>
      </c>
      <c r="E255" s="112" t="b">
        <v>0</v>
      </c>
      <c r="F255" s="112" t="b">
        <v>0</v>
      </c>
      <c r="G255" s="112" t="b">
        <v>0</v>
      </c>
    </row>
    <row r="256" spans="1:7" ht="15">
      <c r="A256" s="112" t="s">
        <v>1319</v>
      </c>
      <c r="B256" s="112">
        <v>2</v>
      </c>
      <c r="C256" s="114">
        <v>0.002296685208411182</v>
      </c>
      <c r="D256" s="112" t="s">
        <v>584</v>
      </c>
      <c r="E256" s="112" t="b">
        <v>0</v>
      </c>
      <c r="F256" s="112" t="b">
        <v>0</v>
      </c>
      <c r="G256" s="112" t="b">
        <v>0</v>
      </c>
    </row>
    <row r="257" spans="1:7" ht="15">
      <c r="A257" s="112" t="s">
        <v>1320</v>
      </c>
      <c r="B257" s="112">
        <v>2</v>
      </c>
      <c r="C257" s="114">
        <v>0.002296685208411182</v>
      </c>
      <c r="D257" s="112" t="s">
        <v>584</v>
      </c>
      <c r="E257" s="112" t="b">
        <v>0</v>
      </c>
      <c r="F257" s="112" t="b">
        <v>0</v>
      </c>
      <c r="G257" s="112" t="b">
        <v>0</v>
      </c>
    </row>
    <row r="258" spans="1:7" ht="15">
      <c r="A258" s="112" t="s">
        <v>1321</v>
      </c>
      <c r="B258" s="112">
        <v>2</v>
      </c>
      <c r="C258" s="114">
        <v>0.002296685208411182</v>
      </c>
      <c r="D258" s="112" t="s">
        <v>584</v>
      </c>
      <c r="E258" s="112" t="b">
        <v>0</v>
      </c>
      <c r="F258" s="112" t="b">
        <v>0</v>
      </c>
      <c r="G258" s="112" t="b">
        <v>0</v>
      </c>
    </row>
    <row r="259" spans="1:7" ht="15">
      <c r="A259" s="112" t="s">
        <v>512</v>
      </c>
      <c r="B259" s="112">
        <v>2</v>
      </c>
      <c r="C259" s="114">
        <v>0.002296685208411182</v>
      </c>
      <c r="D259" s="112" t="s">
        <v>584</v>
      </c>
      <c r="E259" s="112" t="b">
        <v>0</v>
      </c>
      <c r="F259" s="112" t="b">
        <v>0</v>
      </c>
      <c r="G259" s="112" t="b">
        <v>0</v>
      </c>
    </row>
    <row r="260" spans="1:7" ht="15">
      <c r="A260" s="112" t="s">
        <v>577</v>
      </c>
      <c r="B260" s="112">
        <v>2</v>
      </c>
      <c r="C260" s="114">
        <v>0.002296685208411182</v>
      </c>
      <c r="D260" s="112" t="s">
        <v>584</v>
      </c>
      <c r="E260" s="112" t="b">
        <v>0</v>
      </c>
      <c r="F260" s="112" t="b">
        <v>0</v>
      </c>
      <c r="G260" s="112" t="b">
        <v>0</v>
      </c>
    </row>
    <row r="261" spans="1:7" ht="15">
      <c r="A261" s="112" t="s">
        <v>524</v>
      </c>
      <c r="B261" s="112">
        <v>2</v>
      </c>
      <c r="C261" s="114">
        <v>0.002296685208411182</v>
      </c>
      <c r="D261" s="112" t="s">
        <v>584</v>
      </c>
      <c r="E261" s="112" t="b">
        <v>0</v>
      </c>
      <c r="F261" s="112" t="b">
        <v>1</v>
      </c>
      <c r="G261" s="112" t="b">
        <v>0</v>
      </c>
    </row>
    <row r="262" spans="1:7" ht="15">
      <c r="A262" s="112" t="s">
        <v>1322</v>
      </c>
      <c r="B262" s="112">
        <v>2</v>
      </c>
      <c r="C262" s="114">
        <v>0.0026438939692692916</v>
      </c>
      <c r="D262" s="112" t="s">
        <v>584</v>
      </c>
      <c r="E262" s="112" t="b">
        <v>0</v>
      </c>
      <c r="F262" s="112" t="b">
        <v>0</v>
      </c>
      <c r="G262" s="112" t="b">
        <v>0</v>
      </c>
    </row>
    <row r="263" spans="1:7" ht="15">
      <c r="A263" s="112" t="s">
        <v>1323</v>
      </c>
      <c r="B263" s="112">
        <v>2</v>
      </c>
      <c r="C263" s="114">
        <v>0.002296685208411182</v>
      </c>
      <c r="D263" s="112" t="s">
        <v>584</v>
      </c>
      <c r="E263" s="112" t="b">
        <v>0</v>
      </c>
      <c r="F263" s="112" t="b">
        <v>0</v>
      </c>
      <c r="G263" s="112" t="b">
        <v>0</v>
      </c>
    </row>
    <row r="264" spans="1:7" ht="15">
      <c r="A264" s="112" t="s">
        <v>449</v>
      </c>
      <c r="B264" s="112">
        <v>2</v>
      </c>
      <c r="C264" s="114">
        <v>0.002296685208411182</v>
      </c>
      <c r="D264" s="112" t="s">
        <v>584</v>
      </c>
      <c r="E264" s="112" t="b">
        <v>0</v>
      </c>
      <c r="F264" s="112" t="b">
        <v>0</v>
      </c>
      <c r="G264" s="112" t="b">
        <v>0</v>
      </c>
    </row>
    <row r="265" spans="1:7" ht="15">
      <c r="A265" s="112" t="s">
        <v>498</v>
      </c>
      <c r="B265" s="112">
        <v>2</v>
      </c>
      <c r="C265" s="114">
        <v>0.0026438939692692916</v>
      </c>
      <c r="D265" s="112" t="s">
        <v>584</v>
      </c>
      <c r="E265" s="112" t="b">
        <v>0</v>
      </c>
      <c r="F265" s="112" t="b">
        <v>0</v>
      </c>
      <c r="G265" s="112" t="b">
        <v>0</v>
      </c>
    </row>
    <row r="266" spans="1:7" ht="15">
      <c r="A266" s="112" t="s">
        <v>502</v>
      </c>
      <c r="B266" s="112">
        <v>2</v>
      </c>
      <c r="C266" s="114">
        <v>0.002296685208411182</v>
      </c>
      <c r="D266" s="112" t="s">
        <v>584</v>
      </c>
      <c r="E266" s="112" t="b">
        <v>0</v>
      </c>
      <c r="F266" s="112" t="b">
        <v>0</v>
      </c>
      <c r="G266" s="112" t="b">
        <v>0</v>
      </c>
    </row>
    <row r="267" spans="1:7" ht="15">
      <c r="A267" s="112" t="s">
        <v>1324</v>
      </c>
      <c r="B267" s="112">
        <v>2</v>
      </c>
      <c r="C267" s="114">
        <v>0.002296685208411182</v>
      </c>
      <c r="D267" s="112" t="s">
        <v>584</v>
      </c>
      <c r="E267" s="112" t="b">
        <v>0</v>
      </c>
      <c r="F267" s="112" t="b">
        <v>0</v>
      </c>
      <c r="G267" s="112" t="b">
        <v>0</v>
      </c>
    </row>
    <row r="268" spans="1:7" ht="15">
      <c r="A268" s="112" t="s">
        <v>1325</v>
      </c>
      <c r="B268" s="112">
        <v>2</v>
      </c>
      <c r="C268" s="114">
        <v>0.0026438939692692916</v>
      </c>
      <c r="D268" s="112" t="s">
        <v>584</v>
      </c>
      <c r="E268" s="112" t="b">
        <v>0</v>
      </c>
      <c r="F268" s="112" t="b">
        <v>0</v>
      </c>
      <c r="G268" s="112" t="b">
        <v>0</v>
      </c>
    </row>
    <row r="269" spans="1:7" ht="15">
      <c r="A269" s="112" t="s">
        <v>450</v>
      </c>
      <c r="B269" s="112">
        <v>2</v>
      </c>
      <c r="C269" s="114">
        <v>0.002296685208411182</v>
      </c>
      <c r="D269" s="112" t="s">
        <v>584</v>
      </c>
      <c r="E269" s="112" t="b">
        <v>0</v>
      </c>
      <c r="F269" s="112" t="b">
        <v>1</v>
      </c>
      <c r="G269" s="112" t="b">
        <v>0</v>
      </c>
    </row>
    <row r="270" spans="1:7" ht="15">
      <c r="A270" s="112" t="s">
        <v>467</v>
      </c>
      <c r="B270" s="112">
        <v>2</v>
      </c>
      <c r="C270" s="114">
        <v>0.002296685208411182</v>
      </c>
      <c r="D270" s="112" t="s">
        <v>584</v>
      </c>
      <c r="E270" s="112" t="b">
        <v>0</v>
      </c>
      <c r="F270" s="112" t="b">
        <v>0</v>
      </c>
      <c r="G270" s="112" t="b">
        <v>0</v>
      </c>
    </row>
    <row r="271" spans="1:7" ht="15">
      <c r="A271" s="112" t="s">
        <v>517</v>
      </c>
      <c r="B271" s="112">
        <v>2</v>
      </c>
      <c r="C271" s="114">
        <v>0.002296685208411182</v>
      </c>
      <c r="D271" s="112" t="s">
        <v>584</v>
      </c>
      <c r="E271" s="112" t="b">
        <v>0</v>
      </c>
      <c r="F271" s="112" t="b">
        <v>0</v>
      </c>
      <c r="G271" s="112" t="b">
        <v>0</v>
      </c>
    </row>
    <row r="272" spans="1:7" ht="15">
      <c r="A272" s="112" t="s">
        <v>1326</v>
      </c>
      <c r="B272" s="112">
        <v>2</v>
      </c>
      <c r="C272" s="114">
        <v>0.002296685208411182</v>
      </c>
      <c r="D272" s="112" t="s">
        <v>584</v>
      </c>
      <c r="E272" s="112" t="b">
        <v>0</v>
      </c>
      <c r="F272" s="112" t="b">
        <v>0</v>
      </c>
      <c r="G272" s="112" t="b">
        <v>0</v>
      </c>
    </row>
    <row r="273" spans="1:7" ht="15">
      <c r="A273" s="112" t="s">
        <v>1327</v>
      </c>
      <c r="B273" s="112">
        <v>2</v>
      </c>
      <c r="C273" s="114">
        <v>0.002296685208411182</v>
      </c>
      <c r="D273" s="112" t="s">
        <v>584</v>
      </c>
      <c r="E273" s="112" t="b">
        <v>0</v>
      </c>
      <c r="F273" s="112" t="b">
        <v>0</v>
      </c>
      <c r="G273" s="112" t="b">
        <v>0</v>
      </c>
    </row>
    <row r="274" spans="1:7" ht="15">
      <c r="A274" s="112" t="s">
        <v>530</v>
      </c>
      <c r="B274" s="112">
        <v>2</v>
      </c>
      <c r="C274" s="114">
        <v>0.002296685208411182</v>
      </c>
      <c r="D274" s="112" t="s">
        <v>584</v>
      </c>
      <c r="E274" s="112" t="b">
        <v>0</v>
      </c>
      <c r="F274" s="112" t="b">
        <v>0</v>
      </c>
      <c r="G274" s="112" t="b">
        <v>0</v>
      </c>
    </row>
    <row r="275" spans="1:7" ht="15">
      <c r="A275" s="112" t="s">
        <v>555</v>
      </c>
      <c r="B275" s="112">
        <v>2</v>
      </c>
      <c r="C275" s="114">
        <v>0.002296685208411182</v>
      </c>
      <c r="D275" s="112" t="s">
        <v>584</v>
      </c>
      <c r="E275" s="112" t="b">
        <v>1</v>
      </c>
      <c r="F275" s="112" t="b">
        <v>0</v>
      </c>
      <c r="G275" s="112" t="b">
        <v>0</v>
      </c>
    </row>
    <row r="276" spans="1:7" ht="15">
      <c r="A276" s="112" t="s">
        <v>500</v>
      </c>
      <c r="B276" s="112">
        <v>2</v>
      </c>
      <c r="C276" s="114">
        <v>0.002296685208411182</v>
      </c>
      <c r="D276" s="112" t="s">
        <v>584</v>
      </c>
      <c r="E276" s="112" t="b">
        <v>0</v>
      </c>
      <c r="F276" s="112" t="b">
        <v>0</v>
      </c>
      <c r="G276" s="112" t="b">
        <v>0</v>
      </c>
    </row>
    <row r="277" spans="1:7" ht="15">
      <c r="A277" s="112" t="s">
        <v>1328</v>
      </c>
      <c r="B277" s="112">
        <v>2</v>
      </c>
      <c r="C277" s="114">
        <v>0.0026438939692692916</v>
      </c>
      <c r="D277" s="112" t="s">
        <v>584</v>
      </c>
      <c r="E277" s="112" t="b">
        <v>0</v>
      </c>
      <c r="F277" s="112" t="b">
        <v>0</v>
      </c>
      <c r="G277" s="112" t="b">
        <v>0</v>
      </c>
    </row>
    <row r="278" spans="1:7" ht="15">
      <c r="A278" s="112" t="s">
        <v>1329</v>
      </c>
      <c r="B278" s="112">
        <v>2</v>
      </c>
      <c r="C278" s="114">
        <v>0.002296685208411182</v>
      </c>
      <c r="D278" s="112" t="s">
        <v>584</v>
      </c>
      <c r="E278" s="112" t="b">
        <v>0</v>
      </c>
      <c r="F278" s="112" t="b">
        <v>0</v>
      </c>
      <c r="G278" s="112" t="b">
        <v>0</v>
      </c>
    </row>
    <row r="279" spans="1:7" ht="15">
      <c r="A279" s="112" t="s">
        <v>395</v>
      </c>
      <c r="B279" s="112">
        <v>2</v>
      </c>
      <c r="C279" s="114">
        <v>0.002296685208411182</v>
      </c>
      <c r="D279" s="112" t="s">
        <v>584</v>
      </c>
      <c r="E279" s="112" t="b">
        <v>0</v>
      </c>
      <c r="F279" s="112" t="b">
        <v>0</v>
      </c>
      <c r="G279" s="112" t="b">
        <v>0</v>
      </c>
    </row>
    <row r="280" spans="1:7" ht="15">
      <c r="A280" s="112" t="s">
        <v>537</v>
      </c>
      <c r="B280" s="112">
        <v>2</v>
      </c>
      <c r="C280" s="114">
        <v>0.002296685208411182</v>
      </c>
      <c r="D280" s="112" t="s">
        <v>584</v>
      </c>
      <c r="E280" s="112" t="b">
        <v>0</v>
      </c>
      <c r="F280" s="112" t="b">
        <v>0</v>
      </c>
      <c r="G280" s="112" t="b">
        <v>0</v>
      </c>
    </row>
    <row r="281" spans="1:7" ht="15">
      <c r="A281" s="112" t="s">
        <v>409</v>
      </c>
      <c r="B281" s="112">
        <v>2</v>
      </c>
      <c r="C281" s="114">
        <v>0.002296685208411182</v>
      </c>
      <c r="D281" s="112" t="s">
        <v>584</v>
      </c>
      <c r="E281" s="112" t="b">
        <v>0</v>
      </c>
      <c r="F281" s="112" t="b">
        <v>0</v>
      </c>
      <c r="G281" s="112" t="b">
        <v>0</v>
      </c>
    </row>
    <row r="282" spans="1:7" ht="15">
      <c r="A282" s="112" t="s">
        <v>526</v>
      </c>
      <c r="B282" s="112">
        <v>2</v>
      </c>
      <c r="C282" s="114">
        <v>0.002296685208411182</v>
      </c>
      <c r="D282" s="112" t="s">
        <v>584</v>
      </c>
      <c r="E282" s="112" t="b">
        <v>0</v>
      </c>
      <c r="F282" s="112" t="b">
        <v>0</v>
      </c>
      <c r="G282" s="112" t="b">
        <v>0</v>
      </c>
    </row>
    <row r="283" spans="1:7" ht="15">
      <c r="A283" s="112" t="s">
        <v>1330</v>
      </c>
      <c r="B283" s="112">
        <v>2</v>
      </c>
      <c r="C283" s="114">
        <v>0.002296685208411182</v>
      </c>
      <c r="D283" s="112" t="s">
        <v>584</v>
      </c>
      <c r="E283" s="112" t="b">
        <v>0</v>
      </c>
      <c r="F283" s="112" t="b">
        <v>0</v>
      </c>
      <c r="G283" s="112" t="b">
        <v>0</v>
      </c>
    </row>
    <row r="284" spans="1:7" ht="15">
      <c r="A284" s="112" t="s">
        <v>1331</v>
      </c>
      <c r="B284" s="112">
        <v>2</v>
      </c>
      <c r="C284" s="114">
        <v>0.0026438939692692916</v>
      </c>
      <c r="D284" s="112" t="s">
        <v>584</v>
      </c>
      <c r="E284" s="112" t="b">
        <v>0</v>
      </c>
      <c r="F284" s="112" t="b">
        <v>0</v>
      </c>
      <c r="G284" s="112" t="b">
        <v>0</v>
      </c>
    </row>
    <row r="285" spans="1:7" ht="15">
      <c r="A285" s="112" t="s">
        <v>518</v>
      </c>
      <c r="B285" s="112">
        <v>2</v>
      </c>
      <c r="C285" s="114">
        <v>0.0026438939692692916</v>
      </c>
      <c r="D285" s="112" t="s">
        <v>584</v>
      </c>
      <c r="E285" s="112" t="b">
        <v>0</v>
      </c>
      <c r="F285" s="112" t="b">
        <v>0</v>
      </c>
      <c r="G285" s="112" t="b">
        <v>0</v>
      </c>
    </row>
    <row r="286" spans="1:7" ht="15">
      <c r="A286" s="112" t="s">
        <v>1332</v>
      </c>
      <c r="B286" s="112">
        <v>2</v>
      </c>
      <c r="C286" s="114">
        <v>0.002296685208411182</v>
      </c>
      <c r="D286" s="112" t="s">
        <v>584</v>
      </c>
      <c r="E286" s="112" t="b">
        <v>0</v>
      </c>
      <c r="F286" s="112" t="b">
        <v>0</v>
      </c>
      <c r="G286" s="112" t="b">
        <v>0</v>
      </c>
    </row>
    <row r="287" spans="1:7" ht="15">
      <c r="A287" s="112" t="s">
        <v>1333</v>
      </c>
      <c r="B287" s="112">
        <v>2</v>
      </c>
      <c r="C287" s="114">
        <v>0.002296685208411182</v>
      </c>
      <c r="D287" s="112" t="s">
        <v>584</v>
      </c>
      <c r="E287" s="112" t="b">
        <v>0</v>
      </c>
      <c r="F287" s="112" t="b">
        <v>0</v>
      </c>
      <c r="G287" s="112" t="b">
        <v>0</v>
      </c>
    </row>
    <row r="288" spans="1:7" ht="15">
      <c r="A288" s="112" t="s">
        <v>528</v>
      </c>
      <c r="B288" s="112">
        <v>2</v>
      </c>
      <c r="C288" s="114">
        <v>0.002296685208411182</v>
      </c>
      <c r="D288" s="112" t="s">
        <v>584</v>
      </c>
      <c r="E288" s="112" t="b">
        <v>0</v>
      </c>
      <c r="F288" s="112" t="b">
        <v>0</v>
      </c>
      <c r="G288" s="112" t="b">
        <v>0</v>
      </c>
    </row>
    <row r="289" spans="1:7" ht="15">
      <c r="A289" s="112" t="s">
        <v>1334</v>
      </c>
      <c r="B289" s="112">
        <v>2</v>
      </c>
      <c r="C289" s="114">
        <v>0.0026438939692692916</v>
      </c>
      <c r="D289" s="112" t="s">
        <v>584</v>
      </c>
      <c r="E289" s="112" t="b">
        <v>0</v>
      </c>
      <c r="F289" s="112" t="b">
        <v>0</v>
      </c>
      <c r="G289" s="112" t="b">
        <v>0</v>
      </c>
    </row>
    <row r="290" spans="1:7" ht="15">
      <c r="A290" s="112" t="s">
        <v>1335</v>
      </c>
      <c r="B290" s="112">
        <v>2</v>
      </c>
      <c r="C290" s="114">
        <v>0.002296685208411182</v>
      </c>
      <c r="D290" s="112" t="s">
        <v>584</v>
      </c>
      <c r="E290" s="112" t="b">
        <v>0</v>
      </c>
      <c r="F290" s="112" t="b">
        <v>0</v>
      </c>
      <c r="G290" s="112" t="b">
        <v>0</v>
      </c>
    </row>
    <row r="291" spans="1:7" ht="15">
      <c r="A291" s="112" t="s">
        <v>484</v>
      </c>
      <c r="B291" s="112">
        <v>2</v>
      </c>
      <c r="C291" s="114">
        <v>0.002296685208411182</v>
      </c>
      <c r="D291" s="112" t="s">
        <v>584</v>
      </c>
      <c r="E291" s="112" t="b">
        <v>0</v>
      </c>
      <c r="F291" s="112" t="b">
        <v>0</v>
      </c>
      <c r="G291" s="112" t="b">
        <v>0</v>
      </c>
    </row>
    <row r="292" spans="1:7" ht="15">
      <c r="A292" s="112" t="s">
        <v>446</v>
      </c>
      <c r="B292" s="112">
        <v>2</v>
      </c>
      <c r="C292" s="114">
        <v>0.002296685208411182</v>
      </c>
      <c r="D292" s="112" t="s">
        <v>584</v>
      </c>
      <c r="E292" s="112" t="b">
        <v>0</v>
      </c>
      <c r="F292" s="112" t="b">
        <v>0</v>
      </c>
      <c r="G292" s="112" t="b">
        <v>0</v>
      </c>
    </row>
    <row r="293" spans="1:7" ht="15">
      <c r="A293" s="112" t="s">
        <v>448</v>
      </c>
      <c r="B293" s="112">
        <v>2</v>
      </c>
      <c r="C293" s="114">
        <v>0.002296685208411182</v>
      </c>
      <c r="D293" s="112" t="s">
        <v>584</v>
      </c>
      <c r="E293" s="112" t="b">
        <v>0</v>
      </c>
      <c r="F293" s="112" t="b">
        <v>0</v>
      </c>
      <c r="G293" s="112" t="b">
        <v>0</v>
      </c>
    </row>
    <row r="294" spans="1:7" ht="15">
      <c r="A294" s="112" t="s">
        <v>433</v>
      </c>
      <c r="B294" s="112">
        <v>2</v>
      </c>
      <c r="C294" s="114">
        <v>0.0026438939692692916</v>
      </c>
      <c r="D294" s="112" t="s">
        <v>584</v>
      </c>
      <c r="E294" s="112" t="b">
        <v>0</v>
      </c>
      <c r="F294" s="112" t="b">
        <v>1</v>
      </c>
      <c r="G294" s="112" t="b">
        <v>0</v>
      </c>
    </row>
    <row r="295" spans="1:7" ht="15">
      <c r="A295" s="112" t="s">
        <v>1336</v>
      </c>
      <c r="B295" s="112">
        <v>2</v>
      </c>
      <c r="C295" s="114">
        <v>0.002296685208411182</v>
      </c>
      <c r="D295" s="112" t="s">
        <v>584</v>
      </c>
      <c r="E295" s="112" t="b">
        <v>0</v>
      </c>
      <c r="F295" s="112" t="b">
        <v>0</v>
      </c>
      <c r="G295" s="112" t="b">
        <v>0</v>
      </c>
    </row>
    <row r="296" spans="1:7" ht="15">
      <c r="A296" s="112" t="s">
        <v>509</v>
      </c>
      <c r="B296" s="112">
        <v>2</v>
      </c>
      <c r="C296" s="114">
        <v>0.002296685208411182</v>
      </c>
      <c r="D296" s="112" t="s">
        <v>584</v>
      </c>
      <c r="E296" s="112" t="b">
        <v>0</v>
      </c>
      <c r="F296" s="112" t="b">
        <v>0</v>
      </c>
      <c r="G296" s="112" t="b">
        <v>0</v>
      </c>
    </row>
    <row r="297" spans="1:7" ht="15">
      <c r="A297" s="112" t="s">
        <v>436</v>
      </c>
      <c r="B297" s="112">
        <v>2</v>
      </c>
      <c r="C297" s="114">
        <v>0.002296685208411182</v>
      </c>
      <c r="D297" s="112" t="s">
        <v>584</v>
      </c>
      <c r="E297" s="112" t="b">
        <v>1</v>
      </c>
      <c r="F297" s="112" t="b">
        <v>0</v>
      </c>
      <c r="G297" s="112" t="b">
        <v>0</v>
      </c>
    </row>
    <row r="298" spans="1:7" ht="15">
      <c r="A298" s="112" t="s">
        <v>1337</v>
      </c>
      <c r="B298" s="112">
        <v>2</v>
      </c>
      <c r="C298" s="114">
        <v>0.002296685208411182</v>
      </c>
      <c r="D298" s="112" t="s">
        <v>584</v>
      </c>
      <c r="E298" s="112" t="b">
        <v>0</v>
      </c>
      <c r="F298" s="112" t="b">
        <v>0</v>
      </c>
      <c r="G298" s="112" t="b">
        <v>0</v>
      </c>
    </row>
    <row r="299" spans="1:7" ht="15">
      <c r="A299" s="112" t="s">
        <v>1338</v>
      </c>
      <c r="B299" s="112">
        <v>2</v>
      </c>
      <c r="C299" s="114">
        <v>0.0026438939692692916</v>
      </c>
      <c r="D299" s="112" t="s">
        <v>584</v>
      </c>
      <c r="E299" s="112" t="b">
        <v>0</v>
      </c>
      <c r="F299" s="112" t="b">
        <v>0</v>
      </c>
      <c r="G299" s="112" t="b">
        <v>0</v>
      </c>
    </row>
    <row r="300" spans="1:7" ht="15">
      <c r="A300" s="112" t="s">
        <v>1339</v>
      </c>
      <c r="B300" s="112">
        <v>2</v>
      </c>
      <c r="C300" s="114">
        <v>0.002296685208411182</v>
      </c>
      <c r="D300" s="112" t="s">
        <v>584</v>
      </c>
      <c r="E300" s="112" t="b">
        <v>0</v>
      </c>
      <c r="F300" s="112" t="b">
        <v>1</v>
      </c>
      <c r="G300" s="112" t="b">
        <v>0</v>
      </c>
    </row>
    <row r="301" spans="1:7" ht="15">
      <c r="A301" s="112" t="s">
        <v>402</v>
      </c>
      <c r="B301" s="112">
        <v>2</v>
      </c>
      <c r="C301" s="114">
        <v>0.002296685208411182</v>
      </c>
      <c r="D301" s="112" t="s">
        <v>584</v>
      </c>
      <c r="E301" s="112" t="b">
        <v>0</v>
      </c>
      <c r="F301" s="112" t="b">
        <v>0</v>
      </c>
      <c r="G301" s="112" t="b">
        <v>0</v>
      </c>
    </row>
    <row r="302" spans="1:7" ht="15">
      <c r="A302" s="112" t="s">
        <v>1340</v>
      </c>
      <c r="B302" s="112">
        <v>2</v>
      </c>
      <c r="C302" s="114">
        <v>0.002296685208411182</v>
      </c>
      <c r="D302" s="112" t="s">
        <v>584</v>
      </c>
      <c r="E302" s="112" t="b">
        <v>0</v>
      </c>
      <c r="F302" s="112" t="b">
        <v>1</v>
      </c>
      <c r="G302" s="112" t="b">
        <v>0</v>
      </c>
    </row>
    <row r="303" spans="1:7" ht="15">
      <c r="A303" s="112" t="s">
        <v>1341</v>
      </c>
      <c r="B303" s="112">
        <v>2</v>
      </c>
      <c r="C303" s="114">
        <v>0.002296685208411182</v>
      </c>
      <c r="D303" s="112" t="s">
        <v>584</v>
      </c>
      <c r="E303" s="112" t="b">
        <v>0</v>
      </c>
      <c r="F303" s="112" t="b">
        <v>0</v>
      </c>
      <c r="G303" s="112" t="b">
        <v>0</v>
      </c>
    </row>
    <row r="304" spans="1:7" ht="15">
      <c r="A304" s="112" t="s">
        <v>541</v>
      </c>
      <c r="B304" s="112">
        <v>2</v>
      </c>
      <c r="C304" s="114">
        <v>0.0026438939692692916</v>
      </c>
      <c r="D304" s="112" t="s">
        <v>584</v>
      </c>
      <c r="E304" s="112" t="b">
        <v>0</v>
      </c>
      <c r="F304" s="112" t="b">
        <v>1</v>
      </c>
      <c r="G304" s="112" t="b">
        <v>0</v>
      </c>
    </row>
    <row r="305" spans="1:7" ht="15">
      <c r="A305" s="112" t="s">
        <v>1342</v>
      </c>
      <c r="B305" s="112">
        <v>2</v>
      </c>
      <c r="C305" s="114">
        <v>0.0026438939692692916</v>
      </c>
      <c r="D305" s="112" t="s">
        <v>584</v>
      </c>
      <c r="E305" s="112" t="b">
        <v>0</v>
      </c>
      <c r="F305" s="112" t="b">
        <v>0</v>
      </c>
      <c r="G305" s="112" t="b">
        <v>0</v>
      </c>
    </row>
    <row r="306" spans="1:7" ht="15">
      <c r="A306" s="112" t="s">
        <v>1343</v>
      </c>
      <c r="B306" s="112">
        <v>2</v>
      </c>
      <c r="C306" s="114">
        <v>0.002296685208411182</v>
      </c>
      <c r="D306" s="112" t="s">
        <v>584</v>
      </c>
      <c r="E306" s="112" t="b">
        <v>0</v>
      </c>
      <c r="F306" s="112" t="b">
        <v>0</v>
      </c>
      <c r="G306" s="112" t="b">
        <v>0</v>
      </c>
    </row>
    <row r="307" spans="1:7" ht="15">
      <c r="A307" s="112" t="s">
        <v>430</v>
      </c>
      <c r="B307" s="112">
        <v>2</v>
      </c>
      <c r="C307" s="114">
        <v>0.002296685208411182</v>
      </c>
      <c r="D307" s="112" t="s">
        <v>584</v>
      </c>
      <c r="E307" s="112" t="b">
        <v>0</v>
      </c>
      <c r="F307" s="112" t="b">
        <v>0</v>
      </c>
      <c r="G307" s="112" t="b">
        <v>0</v>
      </c>
    </row>
    <row r="308" spans="1:7" ht="15">
      <c r="A308" s="112" t="s">
        <v>1344</v>
      </c>
      <c r="B308" s="112">
        <v>2</v>
      </c>
      <c r="C308" s="114">
        <v>0.002296685208411182</v>
      </c>
      <c r="D308" s="112" t="s">
        <v>584</v>
      </c>
      <c r="E308" s="112" t="b">
        <v>0</v>
      </c>
      <c r="F308" s="112" t="b">
        <v>0</v>
      </c>
      <c r="G308" s="112" t="b">
        <v>0</v>
      </c>
    </row>
    <row r="309" spans="1:7" ht="15">
      <c r="A309" s="112" t="s">
        <v>1345</v>
      </c>
      <c r="B309" s="112">
        <v>2</v>
      </c>
      <c r="C309" s="114">
        <v>0.002296685208411182</v>
      </c>
      <c r="D309" s="112" t="s">
        <v>584</v>
      </c>
      <c r="E309" s="112" t="b">
        <v>0</v>
      </c>
      <c r="F309" s="112" t="b">
        <v>0</v>
      </c>
      <c r="G309" s="112" t="b">
        <v>0</v>
      </c>
    </row>
    <row r="310" spans="1:7" ht="15">
      <c r="A310" s="112" t="s">
        <v>454</v>
      </c>
      <c r="B310" s="112">
        <v>2</v>
      </c>
      <c r="C310" s="114">
        <v>0.002296685208411182</v>
      </c>
      <c r="D310" s="112" t="s">
        <v>584</v>
      </c>
      <c r="E310" s="112" t="b">
        <v>0</v>
      </c>
      <c r="F310" s="112" t="b">
        <v>0</v>
      </c>
      <c r="G310" s="112" t="b">
        <v>0</v>
      </c>
    </row>
    <row r="311" spans="1:7" ht="15">
      <c r="A311" s="112" t="s">
        <v>1346</v>
      </c>
      <c r="B311" s="112">
        <v>2</v>
      </c>
      <c r="C311" s="114">
        <v>0.0026438939692692916</v>
      </c>
      <c r="D311" s="112" t="s">
        <v>584</v>
      </c>
      <c r="E311" s="112" t="b">
        <v>0</v>
      </c>
      <c r="F311" s="112" t="b">
        <v>0</v>
      </c>
      <c r="G311" s="112" t="b">
        <v>0</v>
      </c>
    </row>
    <row r="312" spans="1:7" ht="15">
      <c r="A312" s="112" t="s">
        <v>551</v>
      </c>
      <c r="B312" s="112">
        <v>2</v>
      </c>
      <c r="C312" s="114">
        <v>0.0026438939692692916</v>
      </c>
      <c r="D312" s="112" t="s">
        <v>584</v>
      </c>
      <c r="E312" s="112" t="b">
        <v>1</v>
      </c>
      <c r="F312" s="112" t="b">
        <v>0</v>
      </c>
      <c r="G312" s="112" t="b">
        <v>0</v>
      </c>
    </row>
    <row r="313" spans="1:7" ht="15">
      <c r="A313" s="112" t="s">
        <v>540</v>
      </c>
      <c r="B313" s="112">
        <v>2</v>
      </c>
      <c r="C313" s="114">
        <v>0.0026438939692692916</v>
      </c>
      <c r="D313" s="112" t="s">
        <v>584</v>
      </c>
      <c r="E313" s="112" t="b">
        <v>0</v>
      </c>
      <c r="F313" s="112" t="b">
        <v>0</v>
      </c>
      <c r="G313" s="112" t="b">
        <v>0</v>
      </c>
    </row>
    <row r="314" spans="1:7" ht="15">
      <c r="A314" s="112" t="s">
        <v>416</v>
      </c>
      <c r="B314" s="112">
        <v>11</v>
      </c>
      <c r="C314" s="114">
        <v>0.023715700107325623</v>
      </c>
      <c r="D314" s="112" t="s">
        <v>343</v>
      </c>
      <c r="E314" s="112" t="b">
        <v>0</v>
      </c>
      <c r="F314" s="112" t="b">
        <v>0</v>
      </c>
      <c r="G314" s="112" t="b">
        <v>0</v>
      </c>
    </row>
    <row r="315" spans="1:7" ht="15">
      <c r="A315" s="112" t="s">
        <v>373</v>
      </c>
      <c r="B315" s="112">
        <v>8</v>
      </c>
      <c r="C315" s="114">
        <v>0.015906927630856778</v>
      </c>
      <c r="D315" s="112" t="s">
        <v>343</v>
      </c>
      <c r="E315" s="112" t="b">
        <v>0</v>
      </c>
      <c r="F315" s="112" t="b">
        <v>0</v>
      </c>
      <c r="G315" s="112" t="b">
        <v>0</v>
      </c>
    </row>
    <row r="316" spans="1:7" ht="15">
      <c r="A316" s="112" t="s">
        <v>380</v>
      </c>
      <c r="B316" s="112">
        <v>5</v>
      </c>
      <c r="C316" s="114">
        <v>0.014291974215296774</v>
      </c>
      <c r="D316" s="112" t="s">
        <v>343</v>
      </c>
      <c r="E316" s="112" t="b">
        <v>0</v>
      </c>
      <c r="F316" s="112" t="b">
        <v>0</v>
      </c>
      <c r="G316" s="112" t="b">
        <v>0</v>
      </c>
    </row>
    <row r="317" spans="1:7" ht="15">
      <c r="A317" s="112" t="s">
        <v>570</v>
      </c>
      <c r="B317" s="112">
        <v>4</v>
      </c>
      <c r="C317" s="114">
        <v>0.01491369492904645</v>
      </c>
      <c r="D317" s="112" t="s">
        <v>343</v>
      </c>
      <c r="E317" s="112" t="b">
        <v>0</v>
      </c>
      <c r="F317" s="112" t="b">
        <v>0</v>
      </c>
      <c r="G317" s="112" t="b">
        <v>0</v>
      </c>
    </row>
    <row r="318" spans="1:7" ht="15">
      <c r="A318" s="112" t="s">
        <v>482</v>
      </c>
      <c r="B318" s="112">
        <v>4</v>
      </c>
      <c r="C318" s="114">
        <v>0.011433579372237419</v>
      </c>
      <c r="D318" s="112" t="s">
        <v>343</v>
      </c>
      <c r="E318" s="112" t="b">
        <v>0</v>
      </c>
      <c r="F318" s="112" t="b">
        <v>0</v>
      </c>
      <c r="G318" s="112" t="b">
        <v>0</v>
      </c>
    </row>
    <row r="319" spans="1:7" ht="15">
      <c r="A319" s="112" t="s">
        <v>573</v>
      </c>
      <c r="B319" s="112">
        <v>4</v>
      </c>
      <c r="C319" s="114">
        <v>0.01287795783013684</v>
      </c>
      <c r="D319" s="112" t="s">
        <v>343</v>
      </c>
      <c r="E319" s="112" t="b">
        <v>0</v>
      </c>
      <c r="F319" s="112" t="b">
        <v>0</v>
      </c>
      <c r="G319" s="112" t="b">
        <v>0</v>
      </c>
    </row>
    <row r="320" spans="1:7" ht="15">
      <c r="A320" s="112" t="s">
        <v>1253</v>
      </c>
      <c r="B320" s="112">
        <v>3</v>
      </c>
      <c r="C320" s="114">
        <v>0.011185271196784837</v>
      </c>
      <c r="D320" s="112" t="s">
        <v>343</v>
      </c>
      <c r="E320" s="112" t="b">
        <v>0</v>
      </c>
      <c r="F320" s="112" t="b">
        <v>0</v>
      </c>
      <c r="G320" s="112" t="b">
        <v>0</v>
      </c>
    </row>
    <row r="321" spans="1:7" ht="15">
      <c r="A321" s="112" t="s">
        <v>523</v>
      </c>
      <c r="B321" s="112">
        <v>3</v>
      </c>
      <c r="C321" s="114">
        <v>0.011185271196784837</v>
      </c>
      <c r="D321" s="112" t="s">
        <v>343</v>
      </c>
      <c r="E321" s="112" t="b">
        <v>0</v>
      </c>
      <c r="F321" s="112" t="b">
        <v>1</v>
      </c>
      <c r="G321" s="112" t="b">
        <v>0</v>
      </c>
    </row>
    <row r="322" spans="1:7" ht="15">
      <c r="A322" s="112" t="s">
        <v>374</v>
      </c>
      <c r="B322" s="112">
        <v>3</v>
      </c>
      <c r="C322" s="114">
        <v>0.00965846837260263</v>
      </c>
      <c r="D322" s="112" t="s">
        <v>343</v>
      </c>
      <c r="E322" s="112" t="b">
        <v>0</v>
      </c>
      <c r="F322" s="112" t="b">
        <v>0</v>
      </c>
      <c r="G322" s="112" t="b">
        <v>0</v>
      </c>
    </row>
    <row r="323" spans="1:7" ht="15">
      <c r="A323" s="112" t="s">
        <v>493</v>
      </c>
      <c r="B323" s="112">
        <v>3</v>
      </c>
      <c r="C323" s="114">
        <v>0.00965846837260263</v>
      </c>
      <c r="D323" s="112" t="s">
        <v>343</v>
      </c>
      <c r="E323" s="112" t="b">
        <v>0</v>
      </c>
      <c r="F323" s="112" t="b">
        <v>0</v>
      </c>
      <c r="G323" s="112" t="b">
        <v>0</v>
      </c>
    </row>
    <row r="324" spans="1:7" ht="15">
      <c r="A324" s="112" t="s">
        <v>392</v>
      </c>
      <c r="B324" s="112">
        <v>3</v>
      </c>
      <c r="C324" s="114">
        <v>0.011185271196784837</v>
      </c>
      <c r="D324" s="112" t="s">
        <v>343</v>
      </c>
      <c r="E324" s="112" t="b">
        <v>0</v>
      </c>
      <c r="F324" s="112" t="b">
        <v>0</v>
      </c>
      <c r="G324" s="112" t="b">
        <v>0</v>
      </c>
    </row>
    <row r="325" spans="1:7" ht="15">
      <c r="A325" s="112" t="s">
        <v>1257</v>
      </c>
      <c r="B325" s="112">
        <v>3</v>
      </c>
      <c r="C325" s="114">
        <v>0.011185271196784837</v>
      </c>
      <c r="D325" s="112" t="s">
        <v>343</v>
      </c>
      <c r="E325" s="112" t="b">
        <v>0</v>
      </c>
      <c r="F325" s="112" t="b">
        <v>1</v>
      </c>
      <c r="G325" s="112" t="b">
        <v>0</v>
      </c>
    </row>
    <row r="326" spans="1:7" ht="15">
      <c r="A326" s="112" t="s">
        <v>379</v>
      </c>
      <c r="B326" s="112">
        <v>3</v>
      </c>
      <c r="C326" s="114">
        <v>0.011185271196784837</v>
      </c>
      <c r="D326" s="112" t="s">
        <v>343</v>
      </c>
      <c r="E326" s="112" t="b">
        <v>0</v>
      </c>
      <c r="F326" s="112" t="b">
        <v>0</v>
      </c>
      <c r="G326" s="112" t="b">
        <v>0</v>
      </c>
    </row>
    <row r="327" spans="1:7" ht="15">
      <c r="A327" s="112" t="s">
        <v>548</v>
      </c>
      <c r="B327" s="112">
        <v>2</v>
      </c>
      <c r="C327" s="114">
        <v>0.007456847464523225</v>
      </c>
      <c r="D327" s="112" t="s">
        <v>343</v>
      </c>
      <c r="E327" s="112" t="b">
        <v>0</v>
      </c>
      <c r="F327" s="112" t="b">
        <v>0</v>
      </c>
      <c r="G327" s="112" t="b">
        <v>0</v>
      </c>
    </row>
    <row r="328" spans="1:7" ht="15">
      <c r="A328" s="112" t="s">
        <v>567</v>
      </c>
      <c r="B328" s="112">
        <v>2</v>
      </c>
      <c r="C328" s="114">
        <v>0.007456847464523225</v>
      </c>
      <c r="D328" s="112" t="s">
        <v>343</v>
      </c>
      <c r="E328" s="112" t="b">
        <v>0</v>
      </c>
      <c r="F328" s="112" t="b">
        <v>0</v>
      </c>
      <c r="G328" s="112" t="b">
        <v>0</v>
      </c>
    </row>
    <row r="329" spans="1:7" ht="15">
      <c r="A329" s="112" t="s">
        <v>439</v>
      </c>
      <c r="B329" s="112">
        <v>2</v>
      </c>
      <c r="C329" s="114">
        <v>0.007456847464523225</v>
      </c>
      <c r="D329" s="112" t="s">
        <v>343</v>
      </c>
      <c r="E329" s="112" t="b">
        <v>0</v>
      </c>
      <c r="F329" s="112" t="b">
        <v>0</v>
      </c>
      <c r="G329" s="112" t="b">
        <v>0</v>
      </c>
    </row>
    <row r="330" spans="1:7" ht="15">
      <c r="A330" s="112" t="s">
        <v>522</v>
      </c>
      <c r="B330" s="112">
        <v>2</v>
      </c>
      <c r="C330" s="114">
        <v>0.007456847464523225</v>
      </c>
      <c r="D330" s="112" t="s">
        <v>343</v>
      </c>
      <c r="E330" s="112" t="b">
        <v>0</v>
      </c>
      <c r="F330" s="112" t="b">
        <v>0</v>
      </c>
      <c r="G330" s="112" t="b">
        <v>0</v>
      </c>
    </row>
    <row r="331" spans="1:7" ht="15">
      <c r="A331" s="112" t="s">
        <v>1261</v>
      </c>
      <c r="B331" s="112">
        <v>2</v>
      </c>
      <c r="C331" s="114">
        <v>0.007456847464523225</v>
      </c>
      <c r="D331" s="112" t="s">
        <v>343</v>
      </c>
      <c r="E331" s="112" t="b">
        <v>0</v>
      </c>
      <c r="F331" s="112" t="b">
        <v>0</v>
      </c>
      <c r="G331" s="112" t="b">
        <v>0</v>
      </c>
    </row>
    <row r="332" spans="1:7" ht="15">
      <c r="A332" s="112" t="s">
        <v>1280</v>
      </c>
      <c r="B332" s="112">
        <v>2</v>
      </c>
      <c r="C332" s="114">
        <v>0.007456847464523225</v>
      </c>
      <c r="D332" s="112" t="s">
        <v>343</v>
      </c>
      <c r="E332" s="112" t="b">
        <v>0</v>
      </c>
      <c r="F332" s="112" t="b">
        <v>0</v>
      </c>
      <c r="G332" s="112" t="b">
        <v>0</v>
      </c>
    </row>
    <row r="333" spans="1:7" ht="15">
      <c r="A333" s="112" t="s">
        <v>542</v>
      </c>
      <c r="B333" s="112">
        <v>2</v>
      </c>
      <c r="C333" s="114">
        <v>0.00919690524292774</v>
      </c>
      <c r="D333" s="112" t="s">
        <v>343</v>
      </c>
      <c r="E333" s="112" t="b">
        <v>0</v>
      </c>
      <c r="F333" s="112" t="b">
        <v>0</v>
      </c>
      <c r="G333" s="112" t="b">
        <v>0</v>
      </c>
    </row>
    <row r="334" spans="1:7" ht="15">
      <c r="A334" s="112" t="s">
        <v>529</v>
      </c>
      <c r="B334" s="112">
        <v>2</v>
      </c>
      <c r="C334" s="114">
        <v>0.007456847464523225</v>
      </c>
      <c r="D334" s="112" t="s">
        <v>343</v>
      </c>
      <c r="E334" s="112" t="b">
        <v>0</v>
      </c>
      <c r="F334" s="112" t="b">
        <v>0</v>
      </c>
      <c r="G334" s="112" t="b">
        <v>0</v>
      </c>
    </row>
    <row r="335" spans="1:7" ht="15">
      <c r="A335" s="112" t="s">
        <v>410</v>
      </c>
      <c r="B335" s="112">
        <v>2</v>
      </c>
      <c r="C335" s="114">
        <v>0.007456847464523225</v>
      </c>
      <c r="D335" s="112" t="s">
        <v>343</v>
      </c>
      <c r="E335" s="112" t="b">
        <v>0</v>
      </c>
      <c r="F335" s="112" t="b">
        <v>0</v>
      </c>
      <c r="G335" s="112" t="b">
        <v>0</v>
      </c>
    </row>
    <row r="336" spans="1:7" ht="15">
      <c r="A336" s="112" t="s">
        <v>574</v>
      </c>
      <c r="B336" s="112">
        <v>2</v>
      </c>
      <c r="C336" s="114">
        <v>0.007456847464523225</v>
      </c>
      <c r="D336" s="112" t="s">
        <v>343</v>
      </c>
      <c r="E336" s="112" t="b">
        <v>0</v>
      </c>
      <c r="F336" s="112" t="b">
        <v>0</v>
      </c>
      <c r="G336" s="112" t="b">
        <v>0</v>
      </c>
    </row>
    <row r="337" spans="1:7" ht="15">
      <c r="A337" s="112" t="s">
        <v>534</v>
      </c>
      <c r="B337" s="112">
        <v>2</v>
      </c>
      <c r="C337" s="114">
        <v>0.00919690524292774</v>
      </c>
      <c r="D337" s="112" t="s">
        <v>343</v>
      </c>
      <c r="E337" s="112" t="b">
        <v>0</v>
      </c>
      <c r="F337" s="112" t="b">
        <v>0</v>
      </c>
      <c r="G337" s="112" t="b">
        <v>0</v>
      </c>
    </row>
    <row r="338" spans="1:7" ht="15">
      <c r="A338" s="112" t="s">
        <v>378</v>
      </c>
      <c r="B338" s="112">
        <v>2</v>
      </c>
      <c r="C338" s="114">
        <v>0.007456847464523225</v>
      </c>
      <c r="D338" s="112" t="s">
        <v>343</v>
      </c>
      <c r="E338" s="112" t="b">
        <v>0</v>
      </c>
      <c r="F338" s="112" t="b">
        <v>0</v>
      </c>
      <c r="G338" s="112" t="b">
        <v>0</v>
      </c>
    </row>
    <row r="339" spans="1:7" ht="15">
      <c r="A339" s="112" t="s">
        <v>1265</v>
      </c>
      <c r="B339" s="112">
        <v>2</v>
      </c>
      <c r="C339" s="114">
        <v>0.00919690524292774</v>
      </c>
      <c r="D339" s="112" t="s">
        <v>343</v>
      </c>
      <c r="E339" s="112" t="b">
        <v>0</v>
      </c>
      <c r="F339" s="112" t="b">
        <v>1</v>
      </c>
      <c r="G339" s="112" t="b">
        <v>0</v>
      </c>
    </row>
    <row r="340" spans="1:7" ht="15">
      <c r="A340" s="112" t="s">
        <v>429</v>
      </c>
      <c r="B340" s="112">
        <v>2</v>
      </c>
      <c r="C340" s="114">
        <v>0.007456847464523225</v>
      </c>
      <c r="D340" s="112" t="s">
        <v>343</v>
      </c>
      <c r="E340" s="112" t="b">
        <v>0</v>
      </c>
      <c r="F340" s="112" t="b">
        <v>0</v>
      </c>
      <c r="G340" s="112" t="b">
        <v>0</v>
      </c>
    </row>
    <row r="341" spans="1:7" ht="15">
      <c r="A341" s="112" t="s">
        <v>402</v>
      </c>
      <c r="B341" s="112">
        <v>2</v>
      </c>
      <c r="C341" s="114">
        <v>0.007456847464523225</v>
      </c>
      <c r="D341" s="112" t="s">
        <v>343</v>
      </c>
      <c r="E341" s="112" t="b">
        <v>0</v>
      </c>
      <c r="F341" s="112" t="b">
        <v>0</v>
      </c>
      <c r="G341" s="112" t="b">
        <v>0</v>
      </c>
    </row>
    <row r="342" spans="1:7" ht="15">
      <c r="A342" s="112" t="s">
        <v>1310</v>
      </c>
      <c r="B342" s="112">
        <v>2</v>
      </c>
      <c r="C342" s="114">
        <v>0.007456847464523225</v>
      </c>
      <c r="D342" s="112" t="s">
        <v>343</v>
      </c>
      <c r="E342" s="112" t="b">
        <v>0</v>
      </c>
      <c r="F342" s="112" t="b">
        <v>0</v>
      </c>
      <c r="G342" s="112" t="b">
        <v>0</v>
      </c>
    </row>
    <row r="343" spans="1:7" ht="15">
      <c r="A343" s="112" t="s">
        <v>490</v>
      </c>
      <c r="B343" s="112">
        <v>2</v>
      </c>
      <c r="C343" s="114">
        <v>0.00919690524292774</v>
      </c>
      <c r="D343" s="112" t="s">
        <v>343</v>
      </c>
      <c r="E343" s="112" t="b">
        <v>0</v>
      </c>
      <c r="F343" s="112" t="b">
        <v>0</v>
      </c>
      <c r="G343" s="112" t="b">
        <v>0</v>
      </c>
    </row>
    <row r="344" spans="1:7" ht="15">
      <c r="A344" s="112" t="s">
        <v>386</v>
      </c>
      <c r="B344" s="112">
        <v>2</v>
      </c>
      <c r="C344" s="114">
        <v>0.007456847464523225</v>
      </c>
      <c r="D344" s="112" t="s">
        <v>343</v>
      </c>
      <c r="E344" s="112" t="b">
        <v>0</v>
      </c>
      <c r="F344" s="112" t="b">
        <v>0</v>
      </c>
      <c r="G344" s="112" t="b">
        <v>0</v>
      </c>
    </row>
    <row r="345" spans="1:7" ht="15">
      <c r="A345" s="112" t="s">
        <v>1271</v>
      </c>
      <c r="B345" s="112">
        <v>2</v>
      </c>
      <c r="C345" s="114">
        <v>0.007456847464523225</v>
      </c>
      <c r="D345" s="112" t="s">
        <v>343</v>
      </c>
      <c r="E345" s="112" t="b">
        <v>0</v>
      </c>
      <c r="F345" s="112" t="b">
        <v>0</v>
      </c>
      <c r="G345" s="112" t="b">
        <v>0</v>
      </c>
    </row>
    <row r="346" spans="1:7" ht="15">
      <c r="A346" s="112" t="s">
        <v>425</v>
      </c>
      <c r="B346" s="112">
        <v>2</v>
      </c>
      <c r="C346" s="114">
        <v>0.007456847464523225</v>
      </c>
      <c r="D346" s="112" t="s">
        <v>343</v>
      </c>
      <c r="E346" s="112" t="b">
        <v>0</v>
      </c>
      <c r="F346" s="112" t="b">
        <v>1</v>
      </c>
      <c r="G346" s="112" t="b">
        <v>0</v>
      </c>
    </row>
    <row r="347" spans="1:7" ht="15">
      <c r="A347" s="112" t="s">
        <v>427</v>
      </c>
      <c r="B347" s="112">
        <v>2</v>
      </c>
      <c r="C347" s="114">
        <v>0.007456847464523225</v>
      </c>
      <c r="D347" s="112" t="s">
        <v>343</v>
      </c>
      <c r="E347" s="112" t="b">
        <v>0</v>
      </c>
      <c r="F347" s="112" t="b">
        <v>0</v>
      </c>
      <c r="G347" s="112" t="b">
        <v>0</v>
      </c>
    </row>
    <row r="348" spans="1:7" ht="15">
      <c r="A348" s="112" t="s">
        <v>564</v>
      </c>
      <c r="B348" s="112">
        <v>2</v>
      </c>
      <c r="C348" s="114">
        <v>0.007456847464523225</v>
      </c>
      <c r="D348" s="112" t="s">
        <v>343</v>
      </c>
      <c r="E348" s="112" t="b">
        <v>0</v>
      </c>
      <c r="F348" s="112" t="b">
        <v>0</v>
      </c>
      <c r="G348" s="112" t="b">
        <v>0</v>
      </c>
    </row>
    <row r="349" spans="1:7" ht="15">
      <c r="A349" s="112" t="s">
        <v>499</v>
      </c>
      <c r="B349" s="112">
        <v>2</v>
      </c>
      <c r="C349" s="114">
        <v>0.007456847464523225</v>
      </c>
      <c r="D349" s="112" t="s">
        <v>343</v>
      </c>
      <c r="E349" s="112" t="b">
        <v>0</v>
      </c>
      <c r="F349" s="112" t="b">
        <v>0</v>
      </c>
      <c r="G349" s="112" t="b">
        <v>0</v>
      </c>
    </row>
    <row r="350" spans="1:7" ht="15">
      <c r="A350" s="112" t="s">
        <v>468</v>
      </c>
      <c r="B350" s="112">
        <v>2</v>
      </c>
      <c r="C350" s="114">
        <v>0.007456847464523225</v>
      </c>
      <c r="D350" s="112" t="s">
        <v>343</v>
      </c>
      <c r="E350" s="112" t="b">
        <v>0</v>
      </c>
      <c r="F350" s="112" t="b">
        <v>0</v>
      </c>
      <c r="G350" s="112" t="b">
        <v>0</v>
      </c>
    </row>
    <row r="351" spans="1:7" ht="15">
      <c r="A351" s="112" t="s">
        <v>1331</v>
      </c>
      <c r="B351" s="112">
        <v>2</v>
      </c>
      <c r="C351" s="114">
        <v>0.00919690524292774</v>
      </c>
      <c r="D351" s="112" t="s">
        <v>343</v>
      </c>
      <c r="E351" s="112" t="b">
        <v>0</v>
      </c>
      <c r="F351" s="112" t="b">
        <v>0</v>
      </c>
      <c r="G351" s="112" t="b">
        <v>0</v>
      </c>
    </row>
    <row r="352" spans="1:7" ht="15">
      <c r="A352" s="112" t="s">
        <v>451</v>
      </c>
      <c r="B352" s="112">
        <v>2</v>
      </c>
      <c r="C352" s="114">
        <v>0.00919690524292774</v>
      </c>
      <c r="D352" s="112" t="s">
        <v>343</v>
      </c>
      <c r="E352" s="112" t="b">
        <v>0</v>
      </c>
      <c r="F352" s="112" t="b">
        <v>0</v>
      </c>
      <c r="G352" s="112" t="b">
        <v>0</v>
      </c>
    </row>
    <row r="353" spans="1:7" ht="15">
      <c r="A353" s="112" t="s">
        <v>518</v>
      </c>
      <c r="B353" s="112">
        <v>2</v>
      </c>
      <c r="C353" s="114">
        <v>0.00919690524292774</v>
      </c>
      <c r="D353" s="112" t="s">
        <v>343</v>
      </c>
      <c r="E353" s="112" t="b">
        <v>0</v>
      </c>
      <c r="F353" s="112" t="b">
        <v>0</v>
      </c>
      <c r="G353" s="112" t="b">
        <v>0</v>
      </c>
    </row>
    <row r="354" spans="1:7" ht="15">
      <c r="A354" s="112" t="s">
        <v>433</v>
      </c>
      <c r="B354" s="112">
        <v>2</v>
      </c>
      <c r="C354" s="114">
        <v>0.00919690524292774</v>
      </c>
      <c r="D354" s="112" t="s">
        <v>343</v>
      </c>
      <c r="E354" s="112" t="b">
        <v>0</v>
      </c>
      <c r="F354" s="112" t="b">
        <v>1</v>
      </c>
      <c r="G354" s="112" t="b">
        <v>0</v>
      </c>
    </row>
    <row r="355" spans="1:7" ht="15">
      <c r="A355" s="112" t="s">
        <v>487</v>
      </c>
      <c r="B355" s="112">
        <v>2</v>
      </c>
      <c r="C355" s="114">
        <v>0.007456847464523225</v>
      </c>
      <c r="D355" s="112" t="s">
        <v>343</v>
      </c>
      <c r="E355" s="112" t="b">
        <v>0</v>
      </c>
      <c r="F355" s="112" t="b">
        <v>0</v>
      </c>
      <c r="G355" s="112" t="b">
        <v>0</v>
      </c>
    </row>
    <row r="356" spans="1:7" ht="15">
      <c r="A356" s="112" t="s">
        <v>454</v>
      </c>
      <c r="B356" s="112">
        <v>2</v>
      </c>
      <c r="C356" s="114">
        <v>0.007456847464523225</v>
      </c>
      <c r="D356" s="112" t="s">
        <v>343</v>
      </c>
      <c r="E356" s="112" t="b">
        <v>0</v>
      </c>
      <c r="F356" s="112" t="b">
        <v>0</v>
      </c>
      <c r="G356" s="112" t="b">
        <v>0</v>
      </c>
    </row>
    <row r="357" spans="1:7" ht="15">
      <c r="A357" s="112" t="s">
        <v>1346</v>
      </c>
      <c r="B357" s="112">
        <v>2</v>
      </c>
      <c r="C357" s="114">
        <v>0.00919690524292774</v>
      </c>
      <c r="D357" s="112" t="s">
        <v>343</v>
      </c>
      <c r="E357" s="112" t="b">
        <v>0</v>
      </c>
      <c r="F357" s="112" t="b">
        <v>0</v>
      </c>
      <c r="G357" s="112" t="b">
        <v>0</v>
      </c>
    </row>
    <row r="358" spans="1:7" ht="15">
      <c r="A358" s="112" t="s">
        <v>520</v>
      </c>
      <c r="B358" s="112">
        <v>2</v>
      </c>
      <c r="C358" s="114">
        <v>0.00919690524292774</v>
      </c>
      <c r="D358" s="112" t="s">
        <v>343</v>
      </c>
      <c r="E358" s="112" t="b">
        <v>0</v>
      </c>
      <c r="F358" s="112" t="b">
        <v>1</v>
      </c>
      <c r="G358" s="112" t="b">
        <v>0</v>
      </c>
    </row>
    <row r="359" spans="1:7" ht="15">
      <c r="A359" s="112" t="s">
        <v>551</v>
      </c>
      <c r="B359" s="112">
        <v>2</v>
      </c>
      <c r="C359" s="114">
        <v>0.00919690524292774</v>
      </c>
      <c r="D359" s="112" t="s">
        <v>343</v>
      </c>
      <c r="E359" s="112" t="b">
        <v>1</v>
      </c>
      <c r="F359" s="112" t="b">
        <v>0</v>
      </c>
      <c r="G359" s="112" t="b">
        <v>0</v>
      </c>
    </row>
    <row r="360" spans="1:7" ht="15">
      <c r="A360" s="112" t="s">
        <v>540</v>
      </c>
      <c r="B360" s="112">
        <v>2</v>
      </c>
      <c r="C360" s="114">
        <v>0.00919690524292774</v>
      </c>
      <c r="D360" s="112" t="s">
        <v>343</v>
      </c>
      <c r="E360" s="112" t="b">
        <v>0</v>
      </c>
      <c r="F360" s="112" t="b">
        <v>0</v>
      </c>
      <c r="G360" s="112" t="b">
        <v>0</v>
      </c>
    </row>
    <row r="361" spans="1:7" ht="15">
      <c r="A361" s="112" t="s">
        <v>384</v>
      </c>
      <c r="B361" s="112">
        <v>2</v>
      </c>
      <c r="C361" s="114">
        <v>0.00919690524292774</v>
      </c>
      <c r="D361" s="112" t="s">
        <v>343</v>
      </c>
      <c r="E361" s="112" t="b">
        <v>0</v>
      </c>
      <c r="F361" s="112" t="b">
        <v>0</v>
      </c>
      <c r="G361" s="112" t="b">
        <v>0</v>
      </c>
    </row>
    <row r="362" spans="1:7" ht="15">
      <c r="A362" s="112" t="s">
        <v>373</v>
      </c>
      <c r="B362" s="112">
        <v>6</v>
      </c>
      <c r="C362" s="114">
        <v>0.015001740355282666</v>
      </c>
      <c r="D362" s="112" t="s">
        <v>344</v>
      </c>
      <c r="E362" s="112" t="b">
        <v>0</v>
      </c>
      <c r="F362" s="112" t="b">
        <v>0</v>
      </c>
      <c r="G362" s="112" t="b">
        <v>0</v>
      </c>
    </row>
    <row r="363" spans="1:7" ht="15">
      <c r="A363" s="112" t="s">
        <v>383</v>
      </c>
      <c r="B363" s="112">
        <v>5</v>
      </c>
      <c r="C363" s="114">
        <v>0.014349656458913562</v>
      </c>
      <c r="D363" s="112" t="s">
        <v>344</v>
      </c>
      <c r="E363" s="112" t="b">
        <v>0</v>
      </c>
      <c r="F363" s="112" t="b">
        <v>0</v>
      </c>
      <c r="G363" s="112" t="b">
        <v>0</v>
      </c>
    </row>
    <row r="364" spans="1:7" ht="15">
      <c r="A364" s="112" t="s">
        <v>380</v>
      </c>
      <c r="B364" s="112">
        <v>4</v>
      </c>
      <c r="C364" s="114">
        <v>0.01147972516713085</v>
      </c>
      <c r="D364" s="112" t="s">
        <v>344</v>
      </c>
      <c r="E364" s="112" t="b">
        <v>0</v>
      </c>
      <c r="F364" s="112" t="b">
        <v>0</v>
      </c>
      <c r="G364" s="112" t="b">
        <v>0</v>
      </c>
    </row>
    <row r="365" spans="1:7" ht="15">
      <c r="A365" s="112" t="s">
        <v>495</v>
      </c>
      <c r="B365" s="112">
        <v>3</v>
      </c>
      <c r="C365" s="114">
        <v>0.010172734044481402</v>
      </c>
      <c r="D365" s="112" t="s">
        <v>344</v>
      </c>
      <c r="E365" s="112" t="b">
        <v>0</v>
      </c>
      <c r="F365" s="112" t="b">
        <v>0</v>
      </c>
      <c r="G365" s="112" t="b">
        <v>0</v>
      </c>
    </row>
    <row r="366" spans="1:7" ht="15">
      <c r="A366" s="112" t="s">
        <v>486</v>
      </c>
      <c r="B366" s="112">
        <v>3</v>
      </c>
      <c r="C366" s="114">
        <v>0.010172734044481402</v>
      </c>
      <c r="D366" s="112" t="s">
        <v>344</v>
      </c>
      <c r="E366" s="112" t="b">
        <v>0</v>
      </c>
      <c r="F366" s="112" t="b">
        <v>0</v>
      </c>
      <c r="G366" s="112" t="b">
        <v>0</v>
      </c>
    </row>
    <row r="367" spans="1:7" ht="15">
      <c r="A367" s="112" t="s">
        <v>1276</v>
      </c>
      <c r="B367" s="112">
        <v>3</v>
      </c>
      <c r="C367" s="114">
        <v>0.010172734044481402</v>
      </c>
      <c r="D367" s="112" t="s">
        <v>344</v>
      </c>
      <c r="E367" s="112" t="b">
        <v>0</v>
      </c>
      <c r="F367" s="112" t="b">
        <v>0</v>
      </c>
      <c r="G367" s="112" t="b">
        <v>0</v>
      </c>
    </row>
    <row r="368" spans="1:7" ht="15">
      <c r="A368" s="112" t="s">
        <v>403</v>
      </c>
      <c r="B368" s="112">
        <v>3</v>
      </c>
      <c r="C368" s="114">
        <v>0.008609793875348137</v>
      </c>
      <c r="D368" s="112" t="s">
        <v>344</v>
      </c>
      <c r="E368" s="112" t="b">
        <v>0</v>
      </c>
      <c r="F368" s="112" t="b">
        <v>0</v>
      </c>
      <c r="G368" s="112" t="b">
        <v>0</v>
      </c>
    </row>
    <row r="369" spans="1:7" ht="15">
      <c r="A369" s="112" t="s">
        <v>424</v>
      </c>
      <c r="B369" s="112">
        <v>3</v>
      </c>
      <c r="C369" s="114">
        <v>0.010172734044481402</v>
      </c>
      <c r="D369" s="112" t="s">
        <v>344</v>
      </c>
      <c r="E369" s="112" t="b">
        <v>0</v>
      </c>
      <c r="F369" s="112" t="b">
        <v>0</v>
      </c>
      <c r="G369" s="112" t="b">
        <v>0</v>
      </c>
    </row>
    <row r="370" spans="1:7" ht="15">
      <c r="A370" s="112" t="s">
        <v>379</v>
      </c>
      <c r="B370" s="112">
        <v>3</v>
      </c>
      <c r="C370" s="114">
        <v>0.010172734044481402</v>
      </c>
      <c r="D370" s="112" t="s">
        <v>344</v>
      </c>
      <c r="E370" s="112" t="b">
        <v>0</v>
      </c>
      <c r="F370" s="112" t="b">
        <v>0</v>
      </c>
      <c r="G370" s="112" t="b">
        <v>0</v>
      </c>
    </row>
    <row r="371" spans="1:7" ht="15">
      <c r="A371" s="112" t="s">
        <v>405</v>
      </c>
      <c r="B371" s="112">
        <v>3</v>
      </c>
      <c r="C371" s="114">
        <v>0.008609793875348137</v>
      </c>
      <c r="D371" s="112" t="s">
        <v>344</v>
      </c>
      <c r="E371" s="112" t="b">
        <v>0</v>
      </c>
      <c r="F371" s="112" t="b">
        <v>0</v>
      </c>
      <c r="G371" s="112" t="b">
        <v>0</v>
      </c>
    </row>
    <row r="372" spans="1:7" ht="15">
      <c r="A372" s="112" t="s">
        <v>375</v>
      </c>
      <c r="B372" s="112">
        <v>3</v>
      </c>
      <c r="C372" s="114">
        <v>0.010172734044481402</v>
      </c>
      <c r="D372" s="112" t="s">
        <v>344</v>
      </c>
      <c r="E372" s="112" t="b">
        <v>0</v>
      </c>
      <c r="F372" s="112" t="b">
        <v>0</v>
      </c>
      <c r="G372" s="112" t="b">
        <v>0</v>
      </c>
    </row>
    <row r="373" spans="1:7" ht="15">
      <c r="A373" s="112" t="s">
        <v>532</v>
      </c>
      <c r="B373" s="112">
        <v>3</v>
      </c>
      <c r="C373" s="114">
        <v>0.010172734044481402</v>
      </c>
      <c r="D373" s="112" t="s">
        <v>344</v>
      </c>
      <c r="E373" s="112" t="b">
        <v>0</v>
      </c>
      <c r="F373" s="112" t="b">
        <v>1</v>
      </c>
      <c r="G373" s="112" t="b">
        <v>0</v>
      </c>
    </row>
    <row r="374" spans="1:7" ht="15">
      <c r="A374" s="112" t="s">
        <v>1270</v>
      </c>
      <c r="B374" s="112">
        <v>3</v>
      </c>
      <c r="C374" s="114">
        <v>0.010172734044481402</v>
      </c>
      <c r="D374" s="112" t="s">
        <v>344</v>
      </c>
      <c r="E374" s="112" t="b">
        <v>0</v>
      </c>
      <c r="F374" s="112" t="b">
        <v>0</v>
      </c>
      <c r="G374" s="112" t="b">
        <v>0</v>
      </c>
    </row>
    <row r="375" spans="1:7" ht="15">
      <c r="A375" s="112" t="s">
        <v>554</v>
      </c>
      <c r="B375" s="112">
        <v>3</v>
      </c>
      <c r="C375" s="114">
        <v>0.010172734044481402</v>
      </c>
      <c r="D375" s="112" t="s">
        <v>344</v>
      </c>
      <c r="E375" s="112" t="b">
        <v>0</v>
      </c>
      <c r="F375" s="112" t="b">
        <v>0</v>
      </c>
      <c r="G375" s="112" t="b">
        <v>0</v>
      </c>
    </row>
    <row r="376" spans="1:7" ht="15">
      <c r="A376" s="112" t="s">
        <v>1289</v>
      </c>
      <c r="B376" s="112">
        <v>2</v>
      </c>
      <c r="C376" s="114">
        <v>0.008563065274214314</v>
      </c>
      <c r="D376" s="112" t="s">
        <v>344</v>
      </c>
      <c r="E376" s="112" t="b">
        <v>0</v>
      </c>
      <c r="F376" s="112" t="b">
        <v>0</v>
      </c>
      <c r="G376" s="112" t="b">
        <v>0</v>
      </c>
    </row>
    <row r="377" spans="1:7" ht="15">
      <c r="A377" s="112" t="s">
        <v>384</v>
      </c>
      <c r="B377" s="112">
        <v>2</v>
      </c>
      <c r="C377" s="114">
        <v>0.008563065274214314</v>
      </c>
      <c r="D377" s="112" t="s">
        <v>344</v>
      </c>
      <c r="E377" s="112" t="b">
        <v>0</v>
      </c>
      <c r="F377" s="112" t="b">
        <v>0</v>
      </c>
      <c r="G377" s="112" t="b">
        <v>0</v>
      </c>
    </row>
    <row r="378" spans="1:7" ht="15">
      <c r="A378" s="112" t="s">
        <v>464</v>
      </c>
      <c r="B378" s="112">
        <v>2</v>
      </c>
      <c r="C378" s="114">
        <v>0.006781822696320935</v>
      </c>
      <c r="D378" s="112" t="s">
        <v>344</v>
      </c>
      <c r="E378" s="112" t="b">
        <v>0</v>
      </c>
      <c r="F378" s="112" t="b">
        <v>0</v>
      </c>
      <c r="G378" s="112" t="b">
        <v>0</v>
      </c>
    </row>
    <row r="379" spans="1:7" ht="15">
      <c r="A379" s="112" t="s">
        <v>1291</v>
      </c>
      <c r="B379" s="112">
        <v>2</v>
      </c>
      <c r="C379" s="114">
        <v>0.008563065274214314</v>
      </c>
      <c r="D379" s="112" t="s">
        <v>344</v>
      </c>
      <c r="E379" s="112" t="b">
        <v>0</v>
      </c>
      <c r="F379" s="112" t="b">
        <v>0</v>
      </c>
      <c r="G379" s="112" t="b">
        <v>0</v>
      </c>
    </row>
    <row r="380" spans="1:7" ht="15">
      <c r="A380" s="112" t="s">
        <v>533</v>
      </c>
      <c r="B380" s="112">
        <v>2</v>
      </c>
      <c r="C380" s="114">
        <v>0.008563065274214314</v>
      </c>
      <c r="D380" s="112" t="s">
        <v>344</v>
      </c>
      <c r="E380" s="112" t="b">
        <v>0</v>
      </c>
      <c r="F380" s="112" t="b">
        <v>0</v>
      </c>
      <c r="G380" s="112" t="b">
        <v>0</v>
      </c>
    </row>
    <row r="381" spans="1:7" ht="15">
      <c r="A381" s="112" t="s">
        <v>491</v>
      </c>
      <c r="B381" s="112">
        <v>2</v>
      </c>
      <c r="C381" s="114">
        <v>0.006781822696320935</v>
      </c>
      <c r="D381" s="112" t="s">
        <v>344</v>
      </c>
      <c r="E381" s="112" t="b">
        <v>0</v>
      </c>
      <c r="F381" s="112" t="b">
        <v>0</v>
      </c>
      <c r="G381" s="112" t="b">
        <v>0</v>
      </c>
    </row>
    <row r="382" spans="1:7" ht="15">
      <c r="A382" s="112" t="s">
        <v>1327</v>
      </c>
      <c r="B382" s="112">
        <v>2</v>
      </c>
      <c r="C382" s="114">
        <v>0.006781822696320935</v>
      </c>
      <c r="D382" s="112" t="s">
        <v>344</v>
      </c>
      <c r="E382" s="112" t="b">
        <v>0</v>
      </c>
      <c r="F382" s="112" t="b">
        <v>0</v>
      </c>
      <c r="G382" s="112" t="b">
        <v>0</v>
      </c>
    </row>
    <row r="383" spans="1:7" ht="15">
      <c r="A383" s="112" t="s">
        <v>530</v>
      </c>
      <c r="B383" s="112">
        <v>2</v>
      </c>
      <c r="C383" s="114">
        <v>0.006781822696320935</v>
      </c>
      <c r="D383" s="112" t="s">
        <v>344</v>
      </c>
      <c r="E383" s="112" t="b">
        <v>0</v>
      </c>
      <c r="F383" s="112" t="b">
        <v>0</v>
      </c>
      <c r="G383" s="112" t="b">
        <v>0</v>
      </c>
    </row>
    <row r="384" spans="1:7" ht="15">
      <c r="A384" s="112" t="s">
        <v>393</v>
      </c>
      <c r="B384" s="112">
        <v>2</v>
      </c>
      <c r="C384" s="114">
        <v>0.006781822696320935</v>
      </c>
      <c r="D384" s="112" t="s">
        <v>344</v>
      </c>
      <c r="E384" s="112" t="b">
        <v>0</v>
      </c>
      <c r="F384" s="112" t="b">
        <v>0</v>
      </c>
      <c r="G384" s="112" t="b">
        <v>0</v>
      </c>
    </row>
    <row r="385" spans="1:7" ht="15">
      <c r="A385" s="112" t="s">
        <v>385</v>
      </c>
      <c r="B385" s="112">
        <v>2</v>
      </c>
      <c r="C385" s="114">
        <v>0.008563065274214314</v>
      </c>
      <c r="D385" s="112" t="s">
        <v>344</v>
      </c>
      <c r="E385" s="112" t="b">
        <v>0</v>
      </c>
      <c r="F385" s="112" t="b">
        <v>0</v>
      </c>
      <c r="G385" s="112" t="b">
        <v>0</v>
      </c>
    </row>
    <row r="386" spans="1:7" ht="15">
      <c r="A386" s="112" t="s">
        <v>421</v>
      </c>
      <c r="B386" s="112">
        <v>2</v>
      </c>
      <c r="C386" s="114">
        <v>0.006781822696320935</v>
      </c>
      <c r="D386" s="112" t="s">
        <v>344</v>
      </c>
      <c r="E386" s="112" t="b">
        <v>0</v>
      </c>
      <c r="F386" s="112" t="b">
        <v>0</v>
      </c>
      <c r="G386" s="112" t="b">
        <v>0</v>
      </c>
    </row>
    <row r="387" spans="1:7" ht="15">
      <c r="A387" s="112" t="s">
        <v>569</v>
      </c>
      <c r="B387" s="112">
        <v>2</v>
      </c>
      <c r="C387" s="114">
        <v>0.008563065274214314</v>
      </c>
      <c r="D387" s="112" t="s">
        <v>344</v>
      </c>
      <c r="E387" s="112" t="b">
        <v>0</v>
      </c>
      <c r="F387" s="112" t="b">
        <v>0</v>
      </c>
      <c r="G387" s="112" t="b">
        <v>0</v>
      </c>
    </row>
    <row r="388" spans="1:7" ht="15">
      <c r="A388" s="112" t="s">
        <v>378</v>
      </c>
      <c r="B388" s="112">
        <v>2</v>
      </c>
      <c r="C388" s="114">
        <v>0.006781822696320935</v>
      </c>
      <c r="D388" s="112" t="s">
        <v>344</v>
      </c>
      <c r="E388" s="112" t="b">
        <v>0</v>
      </c>
      <c r="F388" s="112" t="b">
        <v>0</v>
      </c>
      <c r="G388" s="112" t="b">
        <v>0</v>
      </c>
    </row>
    <row r="389" spans="1:7" ht="15">
      <c r="A389" s="112" t="s">
        <v>1299</v>
      </c>
      <c r="B389" s="112">
        <v>2</v>
      </c>
      <c r="C389" s="114">
        <v>0.006781822696320935</v>
      </c>
      <c r="D389" s="112" t="s">
        <v>344</v>
      </c>
      <c r="E389" s="112" t="b">
        <v>0</v>
      </c>
      <c r="F389" s="112" t="b">
        <v>1</v>
      </c>
      <c r="G389" s="112" t="b">
        <v>0</v>
      </c>
    </row>
    <row r="390" spans="1:7" ht="15">
      <c r="A390" s="112" t="s">
        <v>1302</v>
      </c>
      <c r="B390" s="112">
        <v>2</v>
      </c>
      <c r="C390" s="114">
        <v>0.008563065274214314</v>
      </c>
      <c r="D390" s="112" t="s">
        <v>344</v>
      </c>
      <c r="E390" s="112" t="b">
        <v>0</v>
      </c>
      <c r="F390" s="112" t="b">
        <v>0</v>
      </c>
      <c r="G390" s="112" t="b">
        <v>0</v>
      </c>
    </row>
    <row r="391" spans="1:7" ht="15">
      <c r="A391" s="112" t="s">
        <v>560</v>
      </c>
      <c r="B391" s="112">
        <v>2</v>
      </c>
      <c r="C391" s="114">
        <v>0.006781822696320935</v>
      </c>
      <c r="D391" s="112" t="s">
        <v>344</v>
      </c>
      <c r="E391" s="112" t="b">
        <v>0</v>
      </c>
      <c r="F391" s="112" t="b">
        <v>0</v>
      </c>
      <c r="G391" s="112" t="b">
        <v>0</v>
      </c>
    </row>
    <row r="392" spans="1:7" ht="15">
      <c r="A392" s="112" t="s">
        <v>1268</v>
      </c>
      <c r="B392" s="112">
        <v>2</v>
      </c>
      <c r="C392" s="114">
        <v>0.006781822696320935</v>
      </c>
      <c r="D392" s="112" t="s">
        <v>344</v>
      </c>
      <c r="E392" s="112" t="b">
        <v>1</v>
      </c>
      <c r="F392" s="112" t="b">
        <v>0</v>
      </c>
      <c r="G392" s="112" t="b">
        <v>0</v>
      </c>
    </row>
    <row r="393" spans="1:7" ht="15">
      <c r="A393" s="112" t="s">
        <v>527</v>
      </c>
      <c r="B393" s="112">
        <v>2</v>
      </c>
      <c r="C393" s="114">
        <v>0.006781822696320935</v>
      </c>
      <c r="D393" s="112" t="s">
        <v>344</v>
      </c>
      <c r="E393" s="112" t="b">
        <v>1</v>
      </c>
      <c r="F393" s="112" t="b">
        <v>0</v>
      </c>
      <c r="G393" s="112" t="b">
        <v>0</v>
      </c>
    </row>
    <row r="394" spans="1:7" ht="15">
      <c r="A394" s="112" t="s">
        <v>1301</v>
      </c>
      <c r="B394" s="112">
        <v>2</v>
      </c>
      <c r="C394" s="114">
        <v>0.008563065274214314</v>
      </c>
      <c r="D394" s="112" t="s">
        <v>344</v>
      </c>
      <c r="E394" s="112" t="b">
        <v>0</v>
      </c>
      <c r="F394" s="112" t="b">
        <v>0</v>
      </c>
      <c r="G394" s="112" t="b">
        <v>0</v>
      </c>
    </row>
    <row r="395" spans="1:7" ht="15">
      <c r="A395" s="112" t="s">
        <v>1269</v>
      </c>
      <c r="B395" s="112">
        <v>2</v>
      </c>
      <c r="C395" s="114">
        <v>0.008563065274214314</v>
      </c>
      <c r="D395" s="112" t="s">
        <v>344</v>
      </c>
      <c r="E395" s="112" t="b">
        <v>0</v>
      </c>
      <c r="F395" s="112" t="b">
        <v>0</v>
      </c>
      <c r="G395" s="112" t="b">
        <v>0</v>
      </c>
    </row>
    <row r="396" spans="1:7" ht="15">
      <c r="A396" s="112" t="s">
        <v>1303</v>
      </c>
      <c r="B396" s="112">
        <v>2</v>
      </c>
      <c r="C396" s="114">
        <v>0.006781822696320935</v>
      </c>
      <c r="D396" s="112" t="s">
        <v>344</v>
      </c>
      <c r="E396" s="112" t="b">
        <v>0</v>
      </c>
      <c r="F396" s="112" t="b">
        <v>0</v>
      </c>
      <c r="G396" s="112" t="b">
        <v>0</v>
      </c>
    </row>
    <row r="397" spans="1:7" ht="15">
      <c r="A397" s="112" t="s">
        <v>535</v>
      </c>
      <c r="B397" s="112">
        <v>2</v>
      </c>
      <c r="C397" s="114">
        <v>0.006781822696320935</v>
      </c>
      <c r="D397" s="112" t="s">
        <v>344</v>
      </c>
      <c r="E397" s="112" t="b">
        <v>0</v>
      </c>
      <c r="F397" s="112" t="b">
        <v>0</v>
      </c>
      <c r="G397" s="112" t="b">
        <v>0</v>
      </c>
    </row>
    <row r="398" spans="1:7" ht="15">
      <c r="A398" s="112" t="s">
        <v>1304</v>
      </c>
      <c r="B398" s="112">
        <v>2</v>
      </c>
      <c r="C398" s="114">
        <v>0.006781822696320935</v>
      </c>
      <c r="D398" s="112" t="s">
        <v>344</v>
      </c>
      <c r="E398" s="112" t="b">
        <v>0</v>
      </c>
      <c r="F398" s="112" t="b">
        <v>0</v>
      </c>
      <c r="G398" s="112" t="b">
        <v>0</v>
      </c>
    </row>
    <row r="399" spans="1:7" ht="15">
      <c r="A399" s="112" t="s">
        <v>1316</v>
      </c>
      <c r="B399" s="112">
        <v>2</v>
      </c>
      <c r="C399" s="114">
        <v>0.006781822696320935</v>
      </c>
      <c r="D399" s="112" t="s">
        <v>344</v>
      </c>
      <c r="E399" s="112" t="b">
        <v>0</v>
      </c>
      <c r="F399" s="112" t="b">
        <v>0</v>
      </c>
      <c r="G399" s="112" t="b">
        <v>0</v>
      </c>
    </row>
    <row r="400" spans="1:7" ht="15">
      <c r="A400" s="112" t="s">
        <v>1317</v>
      </c>
      <c r="B400" s="112">
        <v>2</v>
      </c>
      <c r="C400" s="114">
        <v>0.006781822696320935</v>
      </c>
      <c r="D400" s="112" t="s">
        <v>344</v>
      </c>
      <c r="E400" s="112" t="b">
        <v>0</v>
      </c>
      <c r="F400" s="112" t="b">
        <v>1</v>
      </c>
      <c r="G400" s="112" t="b">
        <v>0</v>
      </c>
    </row>
    <row r="401" spans="1:7" ht="15">
      <c r="A401" s="112" t="s">
        <v>374</v>
      </c>
      <c r="B401" s="112">
        <v>2</v>
      </c>
      <c r="C401" s="114">
        <v>0.006781822696320935</v>
      </c>
      <c r="D401" s="112" t="s">
        <v>344</v>
      </c>
      <c r="E401" s="112" t="b">
        <v>0</v>
      </c>
      <c r="F401" s="112" t="b">
        <v>0</v>
      </c>
      <c r="G401" s="112" t="b">
        <v>0</v>
      </c>
    </row>
    <row r="402" spans="1:7" ht="15">
      <c r="A402" s="112" t="s">
        <v>557</v>
      </c>
      <c r="B402" s="112">
        <v>2</v>
      </c>
      <c r="C402" s="114">
        <v>0.008563065274214314</v>
      </c>
      <c r="D402" s="112" t="s">
        <v>344</v>
      </c>
      <c r="E402" s="112" t="b">
        <v>0</v>
      </c>
      <c r="F402" s="112" t="b">
        <v>0</v>
      </c>
      <c r="G402" s="112" t="b">
        <v>0</v>
      </c>
    </row>
    <row r="403" spans="1:7" ht="15">
      <c r="A403" s="112" t="s">
        <v>417</v>
      </c>
      <c r="B403" s="112">
        <v>2</v>
      </c>
      <c r="C403" s="114">
        <v>0.006781822696320935</v>
      </c>
      <c r="D403" s="112" t="s">
        <v>344</v>
      </c>
      <c r="E403" s="112" t="b">
        <v>0</v>
      </c>
      <c r="F403" s="112" t="b">
        <v>0</v>
      </c>
      <c r="G403" s="112" t="b">
        <v>0</v>
      </c>
    </row>
    <row r="404" spans="1:7" ht="15">
      <c r="A404" s="112" t="s">
        <v>571</v>
      </c>
      <c r="B404" s="112">
        <v>2</v>
      </c>
      <c r="C404" s="114">
        <v>0.006781822696320935</v>
      </c>
      <c r="D404" s="112" t="s">
        <v>344</v>
      </c>
      <c r="E404" s="112" t="b">
        <v>0</v>
      </c>
      <c r="F404" s="112" t="b">
        <v>0</v>
      </c>
      <c r="G404" s="112" t="b">
        <v>0</v>
      </c>
    </row>
    <row r="405" spans="1:7" ht="15">
      <c r="A405" s="112" t="s">
        <v>473</v>
      </c>
      <c r="B405" s="112">
        <v>2</v>
      </c>
      <c r="C405" s="114">
        <v>0.006781822696320935</v>
      </c>
      <c r="D405" s="112" t="s">
        <v>344</v>
      </c>
      <c r="E405" s="112" t="b">
        <v>0</v>
      </c>
      <c r="F405" s="112" t="b">
        <v>0</v>
      </c>
      <c r="G405" s="112" t="b">
        <v>0</v>
      </c>
    </row>
    <row r="406" spans="1:7" ht="15">
      <c r="A406" s="112" t="s">
        <v>1325</v>
      </c>
      <c r="B406" s="112">
        <v>2</v>
      </c>
      <c r="C406" s="114">
        <v>0.008563065274214314</v>
      </c>
      <c r="D406" s="112" t="s">
        <v>344</v>
      </c>
      <c r="E406" s="112" t="b">
        <v>0</v>
      </c>
      <c r="F406" s="112" t="b">
        <v>0</v>
      </c>
      <c r="G406" s="112" t="b">
        <v>0</v>
      </c>
    </row>
    <row r="407" spans="1:7" ht="15">
      <c r="A407" s="112" t="s">
        <v>467</v>
      </c>
      <c r="B407" s="112">
        <v>2</v>
      </c>
      <c r="C407" s="114">
        <v>0.006781822696320935</v>
      </c>
      <c r="D407" s="112" t="s">
        <v>344</v>
      </c>
      <c r="E407" s="112" t="b">
        <v>0</v>
      </c>
      <c r="F407" s="112" t="b">
        <v>0</v>
      </c>
      <c r="G407" s="112" t="b">
        <v>0</v>
      </c>
    </row>
    <row r="408" spans="1:7" ht="15">
      <c r="A408" s="112" t="s">
        <v>511</v>
      </c>
      <c r="B408" s="112">
        <v>2</v>
      </c>
      <c r="C408" s="114">
        <v>0.008563065274214314</v>
      </c>
      <c r="D408" s="112" t="s">
        <v>344</v>
      </c>
      <c r="E408" s="112" t="b">
        <v>0</v>
      </c>
      <c r="F408" s="112" t="b">
        <v>0</v>
      </c>
      <c r="G408" s="112" t="b">
        <v>0</v>
      </c>
    </row>
    <row r="409" spans="1:7" ht="15">
      <c r="A409" s="112" t="s">
        <v>1328</v>
      </c>
      <c r="B409" s="112">
        <v>2</v>
      </c>
      <c r="C409" s="114">
        <v>0.008563065274214314</v>
      </c>
      <c r="D409" s="112" t="s">
        <v>344</v>
      </c>
      <c r="E409" s="112" t="b">
        <v>0</v>
      </c>
      <c r="F409" s="112" t="b">
        <v>0</v>
      </c>
      <c r="G409" s="112" t="b">
        <v>0</v>
      </c>
    </row>
    <row r="410" spans="1:7" ht="15">
      <c r="A410" s="112" t="s">
        <v>435</v>
      </c>
      <c r="B410" s="112">
        <v>2</v>
      </c>
      <c r="C410" s="114">
        <v>0.006781822696320935</v>
      </c>
      <c r="D410" s="112" t="s">
        <v>344</v>
      </c>
      <c r="E410" s="112" t="b">
        <v>0</v>
      </c>
      <c r="F410" s="112" t="b">
        <v>1</v>
      </c>
      <c r="G410" s="112" t="b">
        <v>0</v>
      </c>
    </row>
    <row r="411" spans="1:7" ht="15">
      <c r="A411" s="112" t="s">
        <v>555</v>
      </c>
      <c r="B411" s="112">
        <v>2</v>
      </c>
      <c r="C411" s="114">
        <v>0.006781822696320935</v>
      </c>
      <c r="D411" s="112" t="s">
        <v>344</v>
      </c>
      <c r="E411" s="112" t="b">
        <v>1</v>
      </c>
      <c r="F411" s="112" t="b">
        <v>0</v>
      </c>
      <c r="G411" s="112" t="b">
        <v>0</v>
      </c>
    </row>
    <row r="412" spans="1:7" ht="15">
      <c r="A412" s="112" t="s">
        <v>373</v>
      </c>
      <c r="B412" s="112">
        <v>14</v>
      </c>
      <c r="C412" s="114">
        <v>0.025206405909718017</v>
      </c>
      <c r="D412" s="112" t="s">
        <v>345</v>
      </c>
      <c r="E412" s="112" t="b">
        <v>0</v>
      </c>
      <c r="F412" s="112" t="b">
        <v>0</v>
      </c>
      <c r="G412" s="112" t="b">
        <v>0</v>
      </c>
    </row>
    <row r="413" spans="1:7" ht="15">
      <c r="A413" s="112" t="s">
        <v>487</v>
      </c>
      <c r="B413" s="112">
        <v>6</v>
      </c>
      <c r="C413" s="114">
        <v>0.016582500222406833</v>
      </c>
      <c r="D413" s="112" t="s">
        <v>345</v>
      </c>
      <c r="E413" s="112" t="b">
        <v>0</v>
      </c>
      <c r="F413" s="112" t="b">
        <v>0</v>
      </c>
      <c r="G413" s="112" t="b">
        <v>0</v>
      </c>
    </row>
    <row r="414" spans="1:7" ht="15">
      <c r="A414" s="112" t="s">
        <v>416</v>
      </c>
      <c r="B414" s="112">
        <v>5</v>
      </c>
      <c r="C414" s="114">
        <v>0.015647240996811793</v>
      </c>
      <c r="D414" s="112" t="s">
        <v>345</v>
      </c>
      <c r="E414" s="112" t="b">
        <v>0</v>
      </c>
      <c r="F414" s="112" t="b">
        <v>0</v>
      </c>
      <c r="G414" s="112" t="b">
        <v>0</v>
      </c>
    </row>
    <row r="415" spans="1:7" ht="15">
      <c r="A415" s="112" t="s">
        <v>440</v>
      </c>
      <c r="B415" s="112">
        <v>5</v>
      </c>
      <c r="C415" s="114">
        <v>0.015647240996811793</v>
      </c>
      <c r="D415" s="112" t="s">
        <v>345</v>
      </c>
      <c r="E415" s="112" t="b">
        <v>0</v>
      </c>
      <c r="F415" s="112" t="b">
        <v>0</v>
      </c>
      <c r="G415" s="112" t="b">
        <v>0</v>
      </c>
    </row>
    <row r="416" spans="1:7" ht="15">
      <c r="A416" s="112" t="s">
        <v>374</v>
      </c>
      <c r="B416" s="112">
        <v>4</v>
      </c>
      <c r="C416" s="114">
        <v>0.014403660519838867</v>
      </c>
      <c r="D416" s="112" t="s">
        <v>345</v>
      </c>
      <c r="E416" s="112" t="b">
        <v>0</v>
      </c>
      <c r="F416" s="112" t="b">
        <v>0</v>
      </c>
      <c r="G416" s="112" t="b">
        <v>0</v>
      </c>
    </row>
    <row r="417" spans="1:7" ht="15">
      <c r="A417" s="112" t="s">
        <v>406</v>
      </c>
      <c r="B417" s="112">
        <v>3</v>
      </c>
      <c r="C417" s="114">
        <v>0.010802745389879149</v>
      </c>
      <c r="D417" s="112" t="s">
        <v>345</v>
      </c>
      <c r="E417" s="112" t="b">
        <v>0</v>
      </c>
      <c r="F417" s="112" t="b">
        <v>0</v>
      </c>
      <c r="G417" s="112" t="b">
        <v>0</v>
      </c>
    </row>
    <row r="418" spans="1:7" ht="15">
      <c r="A418" s="112" t="s">
        <v>471</v>
      </c>
      <c r="B418" s="112">
        <v>3</v>
      </c>
      <c r="C418" s="114">
        <v>0.010802745389879149</v>
      </c>
      <c r="D418" s="112" t="s">
        <v>345</v>
      </c>
      <c r="E418" s="112" t="b">
        <v>0</v>
      </c>
      <c r="F418" s="112" t="b">
        <v>0</v>
      </c>
      <c r="G418" s="112" t="b">
        <v>0</v>
      </c>
    </row>
    <row r="419" spans="1:7" ht="15">
      <c r="A419" s="112" t="s">
        <v>1264</v>
      </c>
      <c r="B419" s="112">
        <v>2</v>
      </c>
      <c r="C419" s="114">
        <v>0.01080274538987915</v>
      </c>
      <c r="D419" s="112" t="s">
        <v>345</v>
      </c>
      <c r="E419" s="112" t="b">
        <v>0</v>
      </c>
      <c r="F419" s="112" t="b">
        <v>0</v>
      </c>
      <c r="G419" s="112" t="b">
        <v>0</v>
      </c>
    </row>
    <row r="420" spans="1:7" ht="15">
      <c r="A420" s="112" t="s">
        <v>399</v>
      </c>
      <c r="B420" s="112">
        <v>2</v>
      </c>
      <c r="C420" s="114">
        <v>0.01080274538987915</v>
      </c>
      <c r="D420" s="112" t="s">
        <v>345</v>
      </c>
      <c r="E420" s="112" t="b">
        <v>0</v>
      </c>
      <c r="F420" s="112" t="b">
        <v>0</v>
      </c>
      <c r="G420" s="112" t="b">
        <v>0</v>
      </c>
    </row>
    <row r="421" spans="1:7" ht="15">
      <c r="A421" s="112" t="s">
        <v>1343</v>
      </c>
      <c r="B421" s="112">
        <v>2</v>
      </c>
      <c r="C421" s="114">
        <v>0.008530820894301933</v>
      </c>
      <c r="D421" s="112" t="s">
        <v>345</v>
      </c>
      <c r="E421" s="112" t="b">
        <v>0</v>
      </c>
      <c r="F421" s="112" t="b">
        <v>0</v>
      </c>
      <c r="G421" s="112" t="b">
        <v>0</v>
      </c>
    </row>
    <row r="422" spans="1:7" ht="15">
      <c r="A422" s="112" t="s">
        <v>538</v>
      </c>
      <c r="B422" s="112">
        <v>2</v>
      </c>
      <c r="C422" s="114">
        <v>0.008530820894301933</v>
      </c>
      <c r="D422" s="112" t="s">
        <v>345</v>
      </c>
      <c r="E422" s="112" t="b">
        <v>0</v>
      </c>
      <c r="F422" s="112" t="b">
        <v>0</v>
      </c>
      <c r="G422" s="112" t="b">
        <v>0</v>
      </c>
    </row>
    <row r="423" spans="1:7" ht="15">
      <c r="A423" s="112" t="s">
        <v>451</v>
      </c>
      <c r="B423" s="112">
        <v>2</v>
      </c>
      <c r="C423" s="114">
        <v>0.008530820894301933</v>
      </c>
      <c r="D423" s="112" t="s">
        <v>345</v>
      </c>
      <c r="E423" s="112" t="b">
        <v>0</v>
      </c>
      <c r="F423" s="112" t="b">
        <v>0</v>
      </c>
      <c r="G423" s="112" t="b">
        <v>0</v>
      </c>
    </row>
    <row r="424" spans="1:7" ht="15">
      <c r="A424" s="112" t="s">
        <v>541</v>
      </c>
      <c r="B424" s="112">
        <v>2</v>
      </c>
      <c r="C424" s="114">
        <v>0.01080274538987915</v>
      </c>
      <c r="D424" s="112" t="s">
        <v>345</v>
      </c>
      <c r="E424" s="112" t="b">
        <v>0</v>
      </c>
      <c r="F424" s="112" t="b">
        <v>1</v>
      </c>
      <c r="G424" s="112" t="b">
        <v>0</v>
      </c>
    </row>
    <row r="425" spans="1:7" ht="15">
      <c r="A425" s="112" t="s">
        <v>441</v>
      </c>
      <c r="B425" s="112">
        <v>2</v>
      </c>
      <c r="C425" s="114">
        <v>0.01080274538987915</v>
      </c>
      <c r="D425" s="112" t="s">
        <v>345</v>
      </c>
      <c r="E425" s="112" t="b">
        <v>0</v>
      </c>
      <c r="F425" s="112" t="b">
        <v>0</v>
      </c>
      <c r="G425" s="112" t="b">
        <v>0</v>
      </c>
    </row>
    <row r="426" spans="1:7" ht="15">
      <c r="A426" s="112" t="s">
        <v>1266</v>
      </c>
      <c r="B426" s="112">
        <v>2</v>
      </c>
      <c r="C426" s="114">
        <v>0.008530820894301933</v>
      </c>
      <c r="D426" s="112" t="s">
        <v>345</v>
      </c>
      <c r="E426" s="112" t="b">
        <v>0</v>
      </c>
      <c r="F426" s="112" t="b">
        <v>0</v>
      </c>
      <c r="G426" s="112" t="b">
        <v>0</v>
      </c>
    </row>
    <row r="427" spans="1:7" ht="15">
      <c r="A427" s="112" t="s">
        <v>456</v>
      </c>
      <c r="B427" s="112">
        <v>2</v>
      </c>
      <c r="C427" s="114">
        <v>0.008530820894301933</v>
      </c>
      <c r="D427" s="112" t="s">
        <v>345</v>
      </c>
      <c r="E427" s="112" t="b">
        <v>0</v>
      </c>
      <c r="F427" s="112" t="b">
        <v>0</v>
      </c>
      <c r="G427" s="112" t="b">
        <v>0</v>
      </c>
    </row>
    <row r="428" spans="1:7" ht="15">
      <c r="A428" s="112" t="s">
        <v>461</v>
      </c>
      <c r="B428" s="112">
        <v>2</v>
      </c>
      <c r="C428" s="114">
        <v>0.008530820894301933</v>
      </c>
      <c r="D428" s="112" t="s">
        <v>345</v>
      </c>
      <c r="E428" s="112" t="b">
        <v>0</v>
      </c>
      <c r="F428" s="112" t="b">
        <v>0</v>
      </c>
      <c r="G428" s="112" t="b">
        <v>0</v>
      </c>
    </row>
    <row r="429" spans="1:7" ht="15">
      <c r="A429" s="112" t="s">
        <v>1342</v>
      </c>
      <c r="B429" s="112">
        <v>2</v>
      </c>
      <c r="C429" s="114">
        <v>0.01080274538987915</v>
      </c>
      <c r="D429" s="112" t="s">
        <v>345</v>
      </c>
      <c r="E429" s="112" t="b">
        <v>0</v>
      </c>
      <c r="F429" s="112" t="b">
        <v>0</v>
      </c>
      <c r="G429" s="112" t="b">
        <v>0</v>
      </c>
    </row>
    <row r="430" spans="1:7" ht="15">
      <c r="A430" s="112" t="s">
        <v>1277</v>
      </c>
      <c r="B430" s="112">
        <v>2</v>
      </c>
      <c r="C430" s="114">
        <v>0.01080274538987915</v>
      </c>
      <c r="D430" s="112" t="s">
        <v>345</v>
      </c>
      <c r="E430" s="112" t="b">
        <v>0</v>
      </c>
      <c r="F430" s="112" t="b">
        <v>0</v>
      </c>
      <c r="G430" s="112" t="b">
        <v>0</v>
      </c>
    </row>
    <row r="431" spans="1:7" ht="15">
      <c r="A431" s="112" t="s">
        <v>1332</v>
      </c>
      <c r="B431" s="112">
        <v>2</v>
      </c>
      <c r="C431" s="114">
        <v>0.008530820894301933</v>
      </c>
      <c r="D431" s="112" t="s">
        <v>345</v>
      </c>
      <c r="E431" s="112" t="b">
        <v>0</v>
      </c>
      <c r="F431" s="112" t="b">
        <v>0</v>
      </c>
      <c r="G431" s="112" t="b">
        <v>0</v>
      </c>
    </row>
    <row r="432" spans="1:7" ht="15">
      <c r="A432" s="112" t="s">
        <v>1333</v>
      </c>
      <c r="B432" s="112">
        <v>2</v>
      </c>
      <c r="C432" s="114">
        <v>0.008530820894301933</v>
      </c>
      <c r="D432" s="112" t="s">
        <v>345</v>
      </c>
      <c r="E432" s="112" t="b">
        <v>0</v>
      </c>
      <c r="F432" s="112" t="b">
        <v>0</v>
      </c>
      <c r="G432" s="112" t="b">
        <v>0</v>
      </c>
    </row>
    <row r="433" spans="1:7" ht="15">
      <c r="A433" s="112" t="s">
        <v>378</v>
      </c>
      <c r="B433" s="112">
        <v>2</v>
      </c>
      <c r="C433" s="114">
        <v>0.008530820894301933</v>
      </c>
      <c r="D433" s="112" t="s">
        <v>345</v>
      </c>
      <c r="E433" s="112" t="b">
        <v>0</v>
      </c>
      <c r="F433" s="112" t="b">
        <v>0</v>
      </c>
      <c r="G433" s="112" t="b">
        <v>0</v>
      </c>
    </row>
    <row r="434" spans="1:7" ht="15">
      <c r="A434" s="112" t="s">
        <v>422</v>
      </c>
      <c r="B434" s="112">
        <v>2</v>
      </c>
      <c r="C434" s="114">
        <v>0.008530820894301933</v>
      </c>
      <c r="D434" s="112" t="s">
        <v>345</v>
      </c>
      <c r="E434" s="112" t="b">
        <v>0</v>
      </c>
      <c r="F434" s="112" t="b">
        <v>1</v>
      </c>
      <c r="G434" s="112" t="b">
        <v>0</v>
      </c>
    </row>
    <row r="435" spans="1:7" ht="15">
      <c r="A435" s="112" t="s">
        <v>510</v>
      </c>
      <c r="B435" s="112">
        <v>2</v>
      </c>
      <c r="C435" s="114">
        <v>0.01080274538987915</v>
      </c>
      <c r="D435" s="112" t="s">
        <v>345</v>
      </c>
      <c r="E435" s="112" t="b">
        <v>0</v>
      </c>
      <c r="F435" s="112" t="b">
        <v>0</v>
      </c>
      <c r="G435" s="112" t="b">
        <v>0</v>
      </c>
    </row>
    <row r="436" spans="1:7" ht="15">
      <c r="A436" s="112" t="s">
        <v>444</v>
      </c>
      <c r="B436" s="112">
        <v>2</v>
      </c>
      <c r="C436" s="114">
        <v>0.008530820894301933</v>
      </c>
      <c r="D436" s="112" t="s">
        <v>345</v>
      </c>
      <c r="E436" s="112" t="b">
        <v>0</v>
      </c>
      <c r="F436" s="112" t="b">
        <v>0</v>
      </c>
      <c r="G436" s="112" t="b">
        <v>0</v>
      </c>
    </row>
    <row r="437" spans="1:7" ht="15">
      <c r="A437" s="112" t="s">
        <v>569</v>
      </c>
      <c r="B437" s="112">
        <v>2</v>
      </c>
      <c r="C437" s="114">
        <v>0.01080274538987915</v>
      </c>
      <c r="D437" s="112" t="s">
        <v>345</v>
      </c>
      <c r="E437" s="112" t="b">
        <v>0</v>
      </c>
      <c r="F437" s="112" t="b">
        <v>0</v>
      </c>
      <c r="G437" s="112" t="b">
        <v>0</v>
      </c>
    </row>
    <row r="438" spans="1:7" ht="15">
      <c r="A438" s="112" t="s">
        <v>428</v>
      </c>
      <c r="B438" s="112">
        <v>2</v>
      </c>
      <c r="C438" s="114">
        <v>0.008530820894301933</v>
      </c>
      <c r="D438" s="112" t="s">
        <v>345</v>
      </c>
      <c r="E438" s="112" t="b">
        <v>0</v>
      </c>
      <c r="F438" s="112" t="b">
        <v>0</v>
      </c>
      <c r="G438" s="112" t="b">
        <v>0</v>
      </c>
    </row>
    <row r="439" spans="1:7" ht="15">
      <c r="A439" s="112" t="s">
        <v>575</v>
      </c>
      <c r="B439" s="112">
        <v>2</v>
      </c>
      <c r="C439" s="114">
        <v>0.008530820894301933</v>
      </c>
      <c r="D439" s="112" t="s">
        <v>345</v>
      </c>
      <c r="E439" s="112" t="b">
        <v>0</v>
      </c>
      <c r="F439" s="112" t="b">
        <v>1</v>
      </c>
      <c r="G439" s="112" t="b">
        <v>0</v>
      </c>
    </row>
    <row r="440" spans="1:7" ht="15">
      <c r="A440" s="112" t="s">
        <v>1267</v>
      </c>
      <c r="B440" s="112">
        <v>2</v>
      </c>
      <c r="C440" s="114">
        <v>0.008530820894301933</v>
      </c>
      <c r="D440" s="112" t="s">
        <v>345</v>
      </c>
      <c r="E440" s="112" t="b">
        <v>0</v>
      </c>
      <c r="F440" s="112" t="b">
        <v>0</v>
      </c>
      <c r="G440" s="112" t="b">
        <v>0</v>
      </c>
    </row>
    <row r="441" spans="1:7" ht="15">
      <c r="A441" s="112" t="s">
        <v>446</v>
      </c>
      <c r="B441" s="112">
        <v>2</v>
      </c>
      <c r="C441" s="114">
        <v>0.008530820894301933</v>
      </c>
      <c r="D441" s="112" t="s">
        <v>345</v>
      </c>
      <c r="E441" s="112" t="b">
        <v>0</v>
      </c>
      <c r="F441" s="112" t="b">
        <v>0</v>
      </c>
      <c r="G441" s="112" t="b">
        <v>0</v>
      </c>
    </row>
    <row r="442" spans="1:7" ht="15">
      <c r="A442" s="112" t="s">
        <v>1334</v>
      </c>
      <c r="B442" s="112">
        <v>2</v>
      </c>
      <c r="C442" s="114">
        <v>0.01080274538987915</v>
      </c>
      <c r="D442" s="112" t="s">
        <v>345</v>
      </c>
      <c r="E442" s="112" t="b">
        <v>0</v>
      </c>
      <c r="F442" s="112" t="b">
        <v>0</v>
      </c>
      <c r="G442" s="112" t="b">
        <v>0</v>
      </c>
    </row>
    <row r="443" spans="1:7" ht="15">
      <c r="A443" s="112" t="s">
        <v>417</v>
      </c>
      <c r="B443" s="112">
        <v>6</v>
      </c>
      <c r="C443" s="114">
        <v>0.013886821278199051</v>
      </c>
      <c r="D443" s="112" t="s">
        <v>346</v>
      </c>
      <c r="E443" s="112" t="b">
        <v>0</v>
      </c>
      <c r="F443" s="112" t="b">
        <v>0</v>
      </c>
      <c r="G443" s="112" t="b">
        <v>0</v>
      </c>
    </row>
    <row r="444" spans="1:7" ht="15">
      <c r="A444" s="112" t="s">
        <v>373</v>
      </c>
      <c r="B444" s="112">
        <v>5</v>
      </c>
      <c r="C444" s="114">
        <v>0.01448776926145199</v>
      </c>
      <c r="D444" s="112" t="s">
        <v>346</v>
      </c>
      <c r="E444" s="112" t="b">
        <v>0</v>
      </c>
      <c r="F444" s="112" t="b">
        <v>0</v>
      </c>
      <c r="G444" s="112" t="b">
        <v>0</v>
      </c>
    </row>
    <row r="445" spans="1:7" ht="15">
      <c r="A445" s="112" t="s">
        <v>569</v>
      </c>
      <c r="B445" s="112">
        <v>5</v>
      </c>
      <c r="C445" s="114">
        <v>0.01448776926145199</v>
      </c>
      <c r="D445" s="112" t="s">
        <v>346</v>
      </c>
      <c r="E445" s="112" t="b">
        <v>0</v>
      </c>
      <c r="F445" s="112" t="b">
        <v>0</v>
      </c>
      <c r="G445" s="112" t="b">
        <v>0</v>
      </c>
    </row>
    <row r="446" spans="1:7" ht="15">
      <c r="A446" s="112" t="s">
        <v>393</v>
      </c>
      <c r="B446" s="112">
        <v>4</v>
      </c>
      <c r="C446" s="114">
        <v>0.015577367669611673</v>
      </c>
      <c r="D446" s="112" t="s">
        <v>346</v>
      </c>
      <c r="E446" s="112" t="b">
        <v>0</v>
      </c>
      <c r="F446" s="112" t="b">
        <v>0</v>
      </c>
      <c r="G446" s="112" t="b">
        <v>0</v>
      </c>
    </row>
    <row r="447" spans="1:7" ht="15">
      <c r="A447" s="112" t="s">
        <v>493</v>
      </c>
      <c r="B447" s="112">
        <v>4</v>
      </c>
      <c r="C447" s="114">
        <v>0.015577367669611673</v>
      </c>
      <c r="D447" s="112" t="s">
        <v>346</v>
      </c>
      <c r="E447" s="112" t="b">
        <v>0</v>
      </c>
      <c r="F447" s="112" t="b">
        <v>0</v>
      </c>
      <c r="G447" s="112" t="b">
        <v>0</v>
      </c>
    </row>
    <row r="448" spans="1:7" ht="15">
      <c r="A448" s="112" t="s">
        <v>1254</v>
      </c>
      <c r="B448" s="112">
        <v>4</v>
      </c>
      <c r="C448" s="114">
        <v>0.011590215409161591</v>
      </c>
      <c r="D448" s="112" t="s">
        <v>346</v>
      </c>
      <c r="E448" s="112" t="b">
        <v>0</v>
      </c>
      <c r="F448" s="112" t="b">
        <v>0</v>
      </c>
      <c r="G448" s="112" t="b">
        <v>0</v>
      </c>
    </row>
    <row r="449" spans="1:7" ht="15">
      <c r="A449" s="112" t="s">
        <v>1260</v>
      </c>
      <c r="B449" s="112">
        <v>4</v>
      </c>
      <c r="C449" s="114">
        <v>0.011590215409161591</v>
      </c>
      <c r="D449" s="112" t="s">
        <v>346</v>
      </c>
      <c r="E449" s="112" t="b">
        <v>0</v>
      </c>
      <c r="F449" s="112" t="b">
        <v>0</v>
      </c>
      <c r="G449" s="112" t="b">
        <v>0</v>
      </c>
    </row>
    <row r="450" spans="1:7" ht="15">
      <c r="A450" s="112" t="s">
        <v>546</v>
      </c>
      <c r="B450" s="112">
        <v>4</v>
      </c>
      <c r="C450" s="114">
        <v>0.011590215409161591</v>
      </c>
      <c r="D450" s="112" t="s">
        <v>346</v>
      </c>
      <c r="E450" s="112" t="b">
        <v>0</v>
      </c>
      <c r="F450" s="112" t="b">
        <v>0</v>
      </c>
      <c r="G450" s="112" t="b">
        <v>0</v>
      </c>
    </row>
    <row r="451" spans="1:7" ht="15">
      <c r="A451" s="112" t="s">
        <v>471</v>
      </c>
      <c r="B451" s="112">
        <v>3</v>
      </c>
      <c r="C451" s="114">
        <v>0.011683025752208755</v>
      </c>
      <c r="D451" s="112" t="s">
        <v>346</v>
      </c>
      <c r="E451" s="112" t="b">
        <v>0</v>
      </c>
      <c r="F451" s="112" t="b">
        <v>0</v>
      </c>
      <c r="G451" s="112" t="b">
        <v>0</v>
      </c>
    </row>
    <row r="452" spans="1:7" ht="15">
      <c r="A452" s="112" t="s">
        <v>437</v>
      </c>
      <c r="B452" s="112">
        <v>3</v>
      </c>
      <c r="C452" s="114">
        <v>0.011683025752208755</v>
      </c>
      <c r="D452" s="112" t="s">
        <v>346</v>
      </c>
      <c r="E452" s="112" t="b">
        <v>0</v>
      </c>
      <c r="F452" s="112" t="b">
        <v>0</v>
      </c>
      <c r="G452" s="112" t="b">
        <v>0</v>
      </c>
    </row>
    <row r="453" spans="1:7" ht="15">
      <c r="A453" s="112" t="s">
        <v>504</v>
      </c>
      <c r="B453" s="112">
        <v>3</v>
      </c>
      <c r="C453" s="114">
        <v>0.011683025752208755</v>
      </c>
      <c r="D453" s="112" t="s">
        <v>346</v>
      </c>
      <c r="E453" s="112" t="b">
        <v>0</v>
      </c>
      <c r="F453" s="112" t="b">
        <v>0</v>
      </c>
      <c r="G453" s="112" t="b">
        <v>0</v>
      </c>
    </row>
    <row r="454" spans="1:7" ht="15">
      <c r="A454" s="112" t="s">
        <v>499</v>
      </c>
      <c r="B454" s="112">
        <v>3</v>
      </c>
      <c r="C454" s="114">
        <v>0.009933774834437087</v>
      </c>
      <c r="D454" s="112" t="s">
        <v>346</v>
      </c>
      <c r="E454" s="112" t="b">
        <v>0</v>
      </c>
      <c r="F454" s="112" t="b">
        <v>0</v>
      </c>
      <c r="G454" s="112" t="b">
        <v>0</v>
      </c>
    </row>
    <row r="455" spans="1:7" ht="15">
      <c r="A455" s="112" t="s">
        <v>1275</v>
      </c>
      <c r="B455" s="112">
        <v>3</v>
      </c>
      <c r="C455" s="114">
        <v>0.009933774834437087</v>
      </c>
      <c r="D455" s="112" t="s">
        <v>346</v>
      </c>
      <c r="E455" s="112" t="b">
        <v>0</v>
      </c>
      <c r="F455" s="112" t="b">
        <v>0</v>
      </c>
      <c r="G455" s="112" t="b">
        <v>0</v>
      </c>
    </row>
    <row r="456" spans="1:7" ht="15">
      <c r="A456" s="112" t="s">
        <v>399</v>
      </c>
      <c r="B456" s="112">
        <v>3</v>
      </c>
      <c r="C456" s="114">
        <v>0.011683025752208755</v>
      </c>
      <c r="D456" s="112" t="s">
        <v>346</v>
      </c>
      <c r="E456" s="112" t="b">
        <v>0</v>
      </c>
      <c r="F456" s="112" t="b">
        <v>0</v>
      </c>
      <c r="G456" s="112" t="b">
        <v>0</v>
      </c>
    </row>
    <row r="457" spans="1:7" ht="15">
      <c r="A457" s="112" t="s">
        <v>1273</v>
      </c>
      <c r="B457" s="112">
        <v>3</v>
      </c>
      <c r="C457" s="114">
        <v>0.011683025752208755</v>
      </c>
      <c r="D457" s="112" t="s">
        <v>346</v>
      </c>
      <c r="E457" s="112" t="b">
        <v>0</v>
      </c>
      <c r="F457" s="112" t="b">
        <v>0</v>
      </c>
      <c r="G457" s="112" t="b">
        <v>0</v>
      </c>
    </row>
    <row r="458" spans="1:7" ht="15">
      <c r="A458" s="112" t="s">
        <v>381</v>
      </c>
      <c r="B458" s="112">
        <v>2</v>
      </c>
      <c r="C458" s="114">
        <v>0.007788683834805837</v>
      </c>
      <c r="D458" s="112" t="s">
        <v>346</v>
      </c>
      <c r="E458" s="112" t="b">
        <v>1</v>
      </c>
      <c r="F458" s="112" t="b">
        <v>0</v>
      </c>
      <c r="G458" s="112" t="b">
        <v>0</v>
      </c>
    </row>
    <row r="459" spans="1:7" ht="15">
      <c r="A459" s="112" t="s">
        <v>1256</v>
      </c>
      <c r="B459" s="112">
        <v>2</v>
      </c>
      <c r="C459" s="114">
        <v>0.009782259965030876</v>
      </c>
      <c r="D459" s="112" t="s">
        <v>346</v>
      </c>
      <c r="E459" s="112" t="b">
        <v>1</v>
      </c>
      <c r="F459" s="112" t="b">
        <v>0</v>
      </c>
      <c r="G459" s="112" t="b">
        <v>0</v>
      </c>
    </row>
    <row r="460" spans="1:7" ht="15">
      <c r="A460" s="112" t="s">
        <v>1286</v>
      </c>
      <c r="B460" s="112">
        <v>2</v>
      </c>
      <c r="C460" s="114">
        <v>0.007788683834805837</v>
      </c>
      <c r="D460" s="112" t="s">
        <v>346</v>
      </c>
      <c r="E460" s="112" t="b">
        <v>0</v>
      </c>
      <c r="F460" s="112" t="b">
        <v>0</v>
      </c>
      <c r="G460" s="112" t="b">
        <v>0</v>
      </c>
    </row>
    <row r="461" spans="1:7" ht="15">
      <c r="A461" s="112" t="s">
        <v>1287</v>
      </c>
      <c r="B461" s="112">
        <v>2</v>
      </c>
      <c r="C461" s="114">
        <v>0.007788683834805837</v>
      </c>
      <c r="D461" s="112" t="s">
        <v>346</v>
      </c>
      <c r="E461" s="112" t="b">
        <v>0</v>
      </c>
      <c r="F461" s="112" t="b">
        <v>0</v>
      </c>
      <c r="G461" s="112" t="b">
        <v>0</v>
      </c>
    </row>
    <row r="462" spans="1:7" ht="15">
      <c r="A462" s="112" t="s">
        <v>478</v>
      </c>
      <c r="B462" s="112">
        <v>2</v>
      </c>
      <c r="C462" s="114">
        <v>0.009782259965030876</v>
      </c>
      <c r="D462" s="112" t="s">
        <v>346</v>
      </c>
      <c r="E462" s="112" t="b">
        <v>0</v>
      </c>
      <c r="F462" s="112" t="b">
        <v>0</v>
      </c>
      <c r="G462" s="112" t="b">
        <v>0</v>
      </c>
    </row>
    <row r="463" spans="1:7" ht="15">
      <c r="A463" s="112" t="s">
        <v>1250</v>
      </c>
      <c r="B463" s="112">
        <v>2</v>
      </c>
      <c r="C463" s="114">
        <v>0.007788683834805837</v>
      </c>
      <c r="D463" s="112" t="s">
        <v>346</v>
      </c>
      <c r="E463" s="112" t="b">
        <v>0</v>
      </c>
      <c r="F463" s="112" t="b">
        <v>0</v>
      </c>
      <c r="G463" s="112" t="b">
        <v>0</v>
      </c>
    </row>
    <row r="464" spans="1:7" ht="15">
      <c r="A464" s="112" t="s">
        <v>1251</v>
      </c>
      <c r="B464" s="112">
        <v>2</v>
      </c>
      <c r="C464" s="114">
        <v>0.007788683834805837</v>
      </c>
      <c r="D464" s="112" t="s">
        <v>346</v>
      </c>
      <c r="E464" s="112" t="b">
        <v>0</v>
      </c>
      <c r="F464" s="112" t="b">
        <v>0</v>
      </c>
      <c r="G464" s="112" t="b">
        <v>0</v>
      </c>
    </row>
    <row r="465" spans="1:7" ht="15">
      <c r="A465" s="112" t="s">
        <v>1311</v>
      </c>
      <c r="B465" s="112">
        <v>2</v>
      </c>
      <c r="C465" s="114">
        <v>0.007788683834805837</v>
      </c>
      <c r="D465" s="112" t="s">
        <v>346</v>
      </c>
      <c r="E465" s="112" t="b">
        <v>0</v>
      </c>
      <c r="F465" s="112" t="b">
        <v>0</v>
      </c>
      <c r="G465" s="112" t="b">
        <v>0</v>
      </c>
    </row>
    <row r="466" spans="1:7" ht="15">
      <c r="A466" s="112" t="s">
        <v>1323</v>
      </c>
      <c r="B466" s="112">
        <v>2</v>
      </c>
      <c r="C466" s="114">
        <v>0.007788683834805837</v>
      </c>
      <c r="D466" s="112" t="s">
        <v>346</v>
      </c>
      <c r="E466" s="112" t="b">
        <v>0</v>
      </c>
      <c r="F466" s="112" t="b">
        <v>0</v>
      </c>
      <c r="G466" s="112" t="b">
        <v>0</v>
      </c>
    </row>
    <row r="467" spans="1:7" ht="15">
      <c r="A467" s="112" t="s">
        <v>1322</v>
      </c>
      <c r="B467" s="112">
        <v>2</v>
      </c>
      <c r="C467" s="114">
        <v>0.009782259965030876</v>
      </c>
      <c r="D467" s="112" t="s">
        <v>346</v>
      </c>
      <c r="E467" s="112" t="b">
        <v>0</v>
      </c>
      <c r="F467" s="112" t="b">
        <v>0</v>
      </c>
      <c r="G467" s="112" t="b">
        <v>0</v>
      </c>
    </row>
    <row r="468" spans="1:7" ht="15">
      <c r="A468" s="112" t="s">
        <v>443</v>
      </c>
      <c r="B468" s="112">
        <v>2</v>
      </c>
      <c r="C468" s="114">
        <v>0.007788683834805837</v>
      </c>
      <c r="D468" s="112" t="s">
        <v>346</v>
      </c>
      <c r="E468" s="112" t="b">
        <v>0</v>
      </c>
      <c r="F468" s="112" t="b">
        <v>0</v>
      </c>
      <c r="G468" s="112" t="b">
        <v>0</v>
      </c>
    </row>
    <row r="469" spans="1:7" ht="15">
      <c r="A469" s="112" t="s">
        <v>441</v>
      </c>
      <c r="B469" s="112">
        <v>2</v>
      </c>
      <c r="C469" s="114">
        <v>0.007788683834805837</v>
      </c>
      <c r="D469" s="112" t="s">
        <v>346</v>
      </c>
      <c r="E469" s="112" t="b">
        <v>0</v>
      </c>
      <c r="F469" s="112" t="b">
        <v>0</v>
      </c>
      <c r="G469" s="112" t="b">
        <v>0</v>
      </c>
    </row>
    <row r="470" spans="1:7" ht="15">
      <c r="A470" s="112" t="s">
        <v>498</v>
      </c>
      <c r="B470" s="112">
        <v>2</v>
      </c>
      <c r="C470" s="114">
        <v>0.009782259965030876</v>
      </c>
      <c r="D470" s="112" t="s">
        <v>346</v>
      </c>
      <c r="E470" s="112" t="b">
        <v>0</v>
      </c>
      <c r="F470" s="112" t="b">
        <v>0</v>
      </c>
      <c r="G470" s="112" t="b">
        <v>0</v>
      </c>
    </row>
    <row r="471" spans="1:7" ht="15">
      <c r="A471" s="112" t="s">
        <v>380</v>
      </c>
      <c r="B471" s="112">
        <v>2</v>
      </c>
      <c r="C471" s="114">
        <v>0.009782259965030876</v>
      </c>
      <c r="D471" s="112" t="s">
        <v>346</v>
      </c>
      <c r="E471" s="112" t="b">
        <v>0</v>
      </c>
      <c r="F471" s="112" t="b">
        <v>0</v>
      </c>
      <c r="G471" s="112" t="b">
        <v>0</v>
      </c>
    </row>
    <row r="472" spans="1:7" ht="15">
      <c r="A472" s="112" t="s">
        <v>471</v>
      </c>
      <c r="B472" s="112">
        <v>3</v>
      </c>
      <c r="C472" s="114">
        <v>0.02345688277901152</v>
      </c>
      <c r="D472" s="112" t="s">
        <v>347</v>
      </c>
      <c r="E472" s="112" t="b">
        <v>0</v>
      </c>
      <c r="F472" s="112" t="b">
        <v>0</v>
      </c>
      <c r="G472" s="112" t="b">
        <v>0</v>
      </c>
    </row>
    <row r="473" spans="1:7" ht="15">
      <c r="A473" s="112" t="s">
        <v>374</v>
      </c>
      <c r="B473" s="112">
        <v>3</v>
      </c>
      <c r="C473" s="114">
        <v>0.02345688277901152</v>
      </c>
      <c r="D473" s="112" t="s">
        <v>347</v>
      </c>
      <c r="E473" s="112" t="b">
        <v>0</v>
      </c>
      <c r="F473" s="112" t="b">
        <v>0</v>
      </c>
      <c r="G473" s="112" t="b">
        <v>0</v>
      </c>
    </row>
    <row r="474" spans="1:7" ht="15">
      <c r="A474" s="112" t="s">
        <v>373</v>
      </c>
      <c r="B474" s="112">
        <v>3</v>
      </c>
      <c r="C474" s="114">
        <v>0.030317581183778322</v>
      </c>
      <c r="D474" s="112" t="s">
        <v>347</v>
      </c>
      <c r="E474" s="112" t="b">
        <v>0</v>
      </c>
      <c r="F474" s="112" t="b">
        <v>0</v>
      </c>
      <c r="G474" s="112" t="b">
        <v>0</v>
      </c>
    </row>
    <row r="475" spans="1:7" ht="15">
      <c r="A475" s="112" t="s">
        <v>1250</v>
      </c>
      <c r="B475" s="112">
        <v>3</v>
      </c>
      <c r="C475" s="114">
        <v>0.02345688277901152</v>
      </c>
      <c r="D475" s="112" t="s">
        <v>347</v>
      </c>
      <c r="E475" s="112" t="b">
        <v>0</v>
      </c>
      <c r="F475" s="112" t="b">
        <v>0</v>
      </c>
      <c r="G475" s="112" t="b">
        <v>0</v>
      </c>
    </row>
    <row r="476" spans="1:7" ht="15">
      <c r="A476" s="112" t="s">
        <v>1251</v>
      </c>
      <c r="B476" s="112">
        <v>3</v>
      </c>
      <c r="C476" s="114">
        <v>0.02345688277901152</v>
      </c>
      <c r="D476" s="112" t="s">
        <v>347</v>
      </c>
      <c r="E476" s="112" t="b">
        <v>0</v>
      </c>
      <c r="F476" s="112" t="b">
        <v>0</v>
      </c>
      <c r="G476" s="112" t="b">
        <v>0</v>
      </c>
    </row>
    <row r="477" spans="1:7" ht="15">
      <c r="A477" s="112" t="s">
        <v>493</v>
      </c>
      <c r="B477" s="112">
        <v>2</v>
      </c>
      <c r="C477" s="114">
        <v>0.02021172078918555</v>
      </c>
      <c r="D477" s="112" t="s">
        <v>347</v>
      </c>
      <c r="E477" s="112" t="b">
        <v>0</v>
      </c>
      <c r="F477" s="112" t="b">
        <v>0</v>
      </c>
      <c r="G477" s="112" t="b">
        <v>0</v>
      </c>
    </row>
    <row r="478" spans="1:7" ht="15">
      <c r="A478" s="112" t="s">
        <v>1256</v>
      </c>
      <c r="B478" s="112">
        <v>2</v>
      </c>
      <c r="C478" s="114">
        <v>0.028030681715522726</v>
      </c>
      <c r="D478" s="112" t="s">
        <v>347</v>
      </c>
      <c r="E478" s="112" t="b">
        <v>1</v>
      </c>
      <c r="F478" s="112" t="b">
        <v>0</v>
      </c>
      <c r="G478" s="112" t="b">
        <v>0</v>
      </c>
    </row>
    <row r="479" spans="1:7" ht="15">
      <c r="A479" s="112" t="s">
        <v>1262</v>
      </c>
      <c r="B479" s="112">
        <v>2</v>
      </c>
      <c r="C479" s="114">
        <v>0.02021172078918555</v>
      </c>
      <c r="D479" s="112" t="s">
        <v>347</v>
      </c>
      <c r="E479" s="112" t="b">
        <v>0</v>
      </c>
      <c r="F479" s="112" t="b">
        <v>0</v>
      </c>
      <c r="G479" s="112" t="b">
        <v>0</v>
      </c>
    </row>
    <row r="480" spans="1:7" ht="15">
      <c r="A480" s="112" t="s">
        <v>1340</v>
      </c>
      <c r="B480" s="112">
        <v>2</v>
      </c>
      <c r="C480" s="114">
        <v>0.02021172078918555</v>
      </c>
      <c r="D480" s="112" t="s">
        <v>347</v>
      </c>
      <c r="E480" s="112" t="b">
        <v>0</v>
      </c>
      <c r="F480" s="112" t="b">
        <v>1</v>
      </c>
      <c r="G480" s="112" t="b">
        <v>0</v>
      </c>
    </row>
    <row r="481" spans="1:7" ht="15">
      <c r="A481" s="112" t="s">
        <v>1341</v>
      </c>
      <c r="B481" s="112">
        <v>2</v>
      </c>
      <c r="C481" s="114">
        <v>0.02021172078918555</v>
      </c>
      <c r="D481" s="112" t="s">
        <v>347</v>
      </c>
      <c r="E481" s="112" t="b">
        <v>0</v>
      </c>
      <c r="F481" s="112" t="b">
        <v>0</v>
      </c>
      <c r="G481" s="112" t="b">
        <v>0</v>
      </c>
    </row>
    <row r="482" spans="1:7" ht="15">
      <c r="A482" s="112" t="s">
        <v>558</v>
      </c>
      <c r="B482" s="112">
        <v>2</v>
      </c>
      <c r="C482" s="114">
        <v>0.028030681715522726</v>
      </c>
      <c r="D482" s="112" t="s">
        <v>347</v>
      </c>
      <c r="E482" s="112" t="b">
        <v>0</v>
      </c>
      <c r="F482" s="112" t="b">
        <v>0</v>
      </c>
      <c r="G482" s="112" t="b">
        <v>0</v>
      </c>
    </row>
    <row r="483" spans="1:7" ht="15">
      <c r="A483" s="112" t="s">
        <v>403</v>
      </c>
      <c r="B483" s="112">
        <v>6</v>
      </c>
      <c r="C483" s="114">
        <v>0.020798138268142245</v>
      </c>
      <c r="D483" s="112" t="s">
        <v>348</v>
      </c>
      <c r="E483" s="112" t="b">
        <v>0</v>
      </c>
      <c r="F483" s="112" t="b">
        <v>0</v>
      </c>
      <c r="G483" s="112" t="b">
        <v>0</v>
      </c>
    </row>
    <row r="484" spans="1:7" ht="15">
      <c r="A484" s="112" t="s">
        <v>499</v>
      </c>
      <c r="B484" s="112">
        <v>4</v>
      </c>
      <c r="C484" s="114">
        <v>0.017514985285269572</v>
      </c>
      <c r="D484" s="112" t="s">
        <v>348</v>
      </c>
      <c r="E484" s="112" t="b">
        <v>0</v>
      </c>
      <c r="F484" s="112" t="b">
        <v>0</v>
      </c>
      <c r="G484" s="112" t="b">
        <v>0</v>
      </c>
    </row>
    <row r="485" spans="1:7" ht="15">
      <c r="A485" s="112" t="s">
        <v>573</v>
      </c>
      <c r="B485" s="112">
        <v>4</v>
      </c>
      <c r="C485" s="114">
        <v>0.017514985285269572</v>
      </c>
      <c r="D485" s="112" t="s">
        <v>348</v>
      </c>
      <c r="E485" s="112" t="b">
        <v>0</v>
      </c>
      <c r="F485" s="112" t="b">
        <v>0</v>
      </c>
      <c r="G485" s="112" t="b">
        <v>0</v>
      </c>
    </row>
    <row r="486" spans="1:7" ht="15">
      <c r="A486" s="112" t="s">
        <v>531</v>
      </c>
      <c r="B486" s="112">
        <v>3</v>
      </c>
      <c r="C486" s="114">
        <v>0.015078291864599329</v>
      </c>
      <c r="D486" s="112" t="s">
        <v>348</v>
      </c>
      <c r="E486" s="112" t="b">
        <v>0</v>
      </c>
      <c r="F486" s="112" t="b">
        <v>0</v>
      </c>
      <c r="G486" s="112" t="b">
        <v>0</v>
      </c>
    </row>
    <row r="487" spans="1:7" ht="15">
      <c r="A487" s="112" t="s">
        <v>534</v>
      </c>
      <c r="B487" s="112">
        <v>3</v>
      </c>
      <c r="C487" s="114">
        <v>0.015078291864599329</v>
      </c>
      <c r="D487" s="112" t="s">
        <v>348</v>
      </c>
      <c r="E487" s="112" t="b">
        <v>0</v>
      </c>
      <c r="F487" s="112" t="b">
        <v>0</v>
      </c>
      <c r="G487" s="112" t="b">
        <v>0</v>
      </c>
    </row>
    <row r="488" spans="1:7" ht="15">
      <c r="A488" s="112" t="s">
        <v>510</v>
      </c>
      <c r="B488" s="112">
        <v>3</v>
      </c>
      <c r="C488" s="114">
        <v>0.015078291864599329</v>
      </c>
      <c r="D488" s="112" t="s">
        <v>348</v>
      </c>
      <c r="E488" s="112" t="b">
        <v>0</v>
      </c>
      <c r="F488" s="112" t="b">
        <v>0</v>
      </c>
      <c r="G488" s="112" t="b">
        <v>0</v>
      </c>
    </row>
    <row r="489" spans="1:7" ht="15">
      <c r="A489" s="112" t="s">
        <v>379</v>
      </c>
      <c r="B489" s="112">
        <v>3</v>
      </c>
      <c r="C489" s="114">
        <v>0.015078291864599329</v>
      </c>
      <c r="D489" s="112" t="s">
        <v>348</v>
      </c>
      <c r="E489" s="112" t="b">
        <v>0</v>
      </c>
      <c r="F489" s="112" t="b">
        <v>0</v>
      </c>
      <c r="G489" s="112" t="b">
        <v>0</v>
      </c>
    </row>
    <row r="490" spans="1:7" ht="15">
      <c r="A490" s="112" t="s">
        <v>380</v>
      </c>
      <c r="B490" s="112">
        <v>3</v>
      </c>
      <c r="C490" s="114">
        <v>0.015078291864599329</v>
      </c>
      <c r="D490" s="112" t="s">
        <v>348</v>
      </c>
      <c r="E490" s="112" t="b">
        <v>0</v>
      </c>
      <c r="F490" s="112" t="b">
        <v>0</v>
      </c>
      <c r="G490" s="112" t="b">
        <v>0</v>
      </c>
    </row>
    <row r="491" spans="1:7" ht="15">
      <c r="A491" s="112" t="s">
        <v>1258</v>
      </c>
      <c r="B491" s="112">
        <v>3</v>
      </c>
      <c r="C491" s="114">
        <v>0.015078291864599329</v>
      </c>
      <c r="D491" s="112" t="s">
        <v>348</v>
      </c>
      <c r="E491" s="112" t="b">
        <v>0</v>
      </c>
      <c r="F491" s="112" t="b">
        <v>0</v>
      </c>
      <c r="G491" s="112" t="b">
        <v>0</v>
      </c>
    </row>
    <row r="492" spans="1:7" ht="15">
      <c r="A492" s="112" t="s">
        <v>1259</v>
      </c>
      <c r="B492" s="112">
        <v>3</v>
      </c>
      <c r="C492" s="114">
        <v>0.015078291864599329</v>
      </c>
      <c r="D492" s="112" t="s">
        <v>348</v>
      </c>
      <c r="E492" s="112" t="b">
        <v>0</v>
      </c>
      <c r="F492" s="112" t="b">
        <v>0</v>
      </c>
      <c r="G492" s="112" t="b">
        <v>0</v>
      </c>
    </row>
    <row r="493" spans="1:7" ht="15">
      <c r="A493" s="112" t="s">
        <v>423</v>
      </c>
      <c r="B493" s="112">
        <v>3</v>
      </c>
      <c r="C493" s="114">
        <v>0.015078291864599329</v>
      </c>
      <c r="D493" s="112" t="s">
        <v>348</v>
      </c>
      <c r="E493" s="112" t="b">
        <v>0</v>
      </c>
      <c r="F493" s="112" t="b">
        <v>1</v>
      </c>
      <c r="G493" s="112" t="b">
        <v>0</v>
      </c>
    </row>
    <row r="494" spans="1:7" ht="15">
      <c r="A494" s="112" t="s">
        <v>538</v>
      </c>
      <c r="B494" s="112">
        <v>2</v>
      </c>
      <c r="C494" s="114">
        <v>0.011876974462986922</v>
      </c>
      <c r="D494" s="112" t="s">
        <v>348</v>
      </c>
      <c r="E494" s="112" t="b">
        <v>0</v>
      </c>
      <c r="F494" s="112" t="b">
        <v>0</v>
      </c>
      <c r="G494" s="112" t="b">
        <v>0</v>
      </c>
    </row>
    <row r="495" spans="1:7" ht="15">
      <c r="A495" s="112" t="s">
        <v>505</v>
      </c>
      <c r="B495" s="112">
        <v>2</v>
      </c>
      <c r="C495" s="114">
        <v>0.011876974462986922</v>
      </c>
      <c r="D495" s="112" t="s">
        <v>348</v>
      </c>
      <c r="E495" s="112" t="b">
        <v>0</v>
      </c>
      <c r="F495" s="112" t="b">
        <v>0</v>
      </c>
      <c r="G495" s="112" t="b">
        <v>0</v>
      </c>
    </row>
    <row r="496" spans="1:7" ht="15">
      <c r="A496" s="112" t="s">
        <v>1306</v>
      </c>
      <c r="B496" s="112">
        <v>2</v>
      </c>
      <c r="C496" s="114">
        <v>0.011876974462986922</v>
      </c>
      <c r="D496" s="112" t="s">
        <v>348</v>
      </c>
      <c r="E496" s="112" t="b">
        <v>0</v>
      </c>
      <c r="F496" s="112" t="b">
        <v>0</v>
      </c>
      <c r="G496" s="112" t="b">
        <v>0</v>
      </c>
    </row>
    <row r="497" spans="1:7" ht="15">
      <c r="A497" s="112" t="s">
        <v>434</v>
      </c>
      <c r="B497" s="112">
        <v>2</v>
      </c>
      <c r="C497" s="114">
        <v>0.011876974462986922</v>
      </c>
      <c r="D497" s="112" t="s">
        <v>348</v>
      </c>
      <c r="E497" s="112" t="b">
        <v>0</v>
      </c>
      <c r="F497" s="112" t="b">
        <v>0</v>
      </c>
      <c r="G497" s="112" t="b">
        <v>0</v>
      </c>
    </row>
    <row r="498" spans="1:7" ht="15">
      <c r="A498" s="112" t="s">
        <v>398</v>
      </c>
      <c r="B498" s="112">
        <v>2</v>
      </c>
      <c r="C498" s="114">
        <v>0.011876974462986922</v>
      </c>
      <c r="D498" s="112" t="s">
        <v>348</v>
      </c>
      <c r="E498" s="112" t="b">
        <v>0</v>
      </c>
      <c r="F498" s="112" t="b">
        <v>0</v>
      </c>
      <c r="G498" s="112" t="b">
        <v>0</v>
      </c>
    </row>
    <row r="499" spans="1:7" ht="15">
      <c r="A499" s="112" t="s">
        <v>457</v>
      </c>
      <c r="B499" s="112">
        <v>2</v>
      </c>
      <c r="C499" s="114">
        <v>0.011876974462986922</v>
      </c>
      <c r="D499" s="112" t="s">
        <v>348</v>
      </c>
      <c r="E499" s="112" t="b">
        <v>0</v>
      </c>
      <c r="F499" s="112" t="b">
        <v>0</v>
      </c>
      <c r="G499" s="112" t="b">
        <v>0</v>
      </c>
    </row>
    <row r="500" spans="1:7" ht="15">
      <c r="A500" s="112" t="s">
        <v>373</v>
      </c>
      <c r="B500" s="112">
        <v>2</v>
      </c>
      <c r="C500" s="114">
        <v>0.011876974462986922</v>
      </c>
      <c r="D500" s="112" t="s">
        <v>348</v>
      </c>
      <c r="E500" s="112" t="b">
        <v>0</v>
      </c>
      <c r="F500" s="112" t="b">
        <v>0</v>
      </c>
      <c r="G500" s="112" t="b">
        <v>0</v>
      </c>
    </row>
    <row r="501" spans="1:7" ht="15">
      <c r="A501" s="112" t="s">
        <v>1253</v>
      </c>
      <c r="B501" s="112">
        <v>2</v>
      </c>
      <c r="C501" s="114">
        <v>0.01499645628333906</v>
      </c>
      <c r="D501" s="112" t="s">
        <v>348</v>
      </c>
      <c r="E501" s="112" t="b">
        <v>0</v>
      </c>
      <c r="F501" s="112" t="b">
        <v>0</v>
      </c>
      <c r="G501" s="112" t="b">
        <v>0</v>
      </c>
    </row>
    <row r="502" spans="1:7" ht="15">
      <c r="A502" s="112" t="s">
        <v>466</v>
      </c>
      <c r="B502" s="112">
        <v>2</v>
      </c>
      <c r="C502" s="114">
        <v>0.011876974462986922</v>
      </c>
      <c r="D502" s="112" t="s">
        <v>348</v>
      </c>
      <c r="E502" s="112" t="b">
        <v>0</v>
      </c>
      <c r="F502" s="112" t="b">
        <v>0</v>
      </c>
      <c r="G502" s="112" t="b">
        <v>0</v>
      </c>
    </row>
    <row r="503" spans="1:7" ht="15">
      <c r="A503" s="112" t="s">
        <v>494</v>
      </c>
      <c r="B503" s="112">
        <v>2</v>
      </c>
      <c r="C503" s="114">
        <v>0.011876974462986922</v>
      </c>
      <c r="D503" s="112" t="s">
        <v>348</v>
      </c>
      <c r="E503" s="112" t="b">
        <v>0</v>
      </c>
      <c r="F503" s="112" t="b">
        <v>1</v>
      </c>
      <c r="G503" s="112" t="b">
        <v>0</v>
      </c>
    </row>
    <row r="504" spans="1:7" ht="15">
      <c r="A504" s="112" t="s">
        <v>553</v>
      </c>
      <c r="B504" s="112">
        <v>2</v>
      </c>
      <c r="C504" s="114">
        <v>0.011876974462986922</v>
      </c>
      <c r="D504" s="112" t="s">
        <v>348</v>
      </c>
      <c r="E504" s="112" t="b">
        <v>0</v>
      </c>
      <c r="F504" s="112" t="b">
        <v>0</v>
      </c>
      <c r="G504" s="112" t="b">
        <v>0</v>
      </c>
    </row>
    <row r="505" spans="1:7" ht="15">
      <c r="A505" s="112" t="s">
        <v>480</v>
      </c>
      <c r="B505" s="112">
        <v>2</v>
      </c>
      <c r="C505" s="114">
        <v>0.011876974462986922</v>
      </c>
      <c r="D505" s="112" t="s">
        <v>348</v>
      </c>
      <c r="E505" s="112" t="b">
        <v>0</v>
      </c>
      <c r="F505" s="112" t="b">
        <v>0</v>
      </c>
      <c r="G505" s="112" t="b">
        <v>0</v>
      </c>
    </row>
    <row r="506" spans="1:7" ht="15">
      <c r="A506" s="112" t="s">
        <v>407</v>
      </c>
      <c r="B506" s="112">
        <v>2</v>
      </c>
      <c r="C506" s="114">
        <v>0.011876974462986922</v>
      </c>
      <c r="D506" s="112" t="s">
        <v>348</v>
      </c>
      <c r="E506" s="112" t="b">
        <v>0</v>
      </c>
      <c r="F506" s="112" t="b">
        <v>0</v>
      </c>
      <c r="G506" s="112" t="b">
        <v>0</v>
      </c>
    </row>
    <row r="507" spans="1:7" ht="15">
      <c r="A507" s="112" t="s">
        <v>1132</v>
      </c>
      <c r="B507" s="112">
        <v>2</v>
      </c>
      <c r="C507" s="114">
        <v>0.011876974462986922</v>
      </c>
      <c r="D507" s="112" t="s">
        <v>348</v>
      </c>
      <c r="E507" s="112" t="b">
        <v>0</v>
      </c>
      <c r="F507" s="112" t="b">
        <v>0</v>
      </c>
      <c r="G507" s="112" t="b">
        <v>0</v>
      </c>
    </row>
    <row r="508" spans="1:7" ht="15">
      <c r="A508" s="112" t="s">
        <v>576</v>
      </c>
      <c r="B508" s="112">
        <v>2</v>
      </c>
      <c r="C508" s="114">
        <v>0.011876974462986922</v>
      </c>
      <c r="D508" s="112" t="s">
        <v>348</v>
      </c>
      <c r="E508" s="112" t="b">
        <v>0</v>
      </c>
      <c r="F508" s="112" t="b">
        <v>1</v>
      </c>
      <c r="G508" s="112" t="b">
        <v>0</v>
      </c>
    </row>
    <row r="509" spans="1:7" ht="15">
      <c r="A509" s="112" t="s">
        <v>1318</v>
      </c>
      <c r="B509" s="112">
        <v>2</v>
      </c>
      <c r="C509" s="114">
        <v>0.011876974462986922</v>
      </c>
      <c r="D509" s="112" t="s">
        <v>348</v>
      </c>
      <c r="E509" s="112" t="b">
        <v>0</v>
      </c>
      <c r="F509" s="112" t="b">
        <v>0</v>
      </c>
      <c r="G509" s="112" t="b">
        <v>0</v>
      </c>
    </row>
    <row r="510" spans="1:7" ht="15">
      <c r="A510" s="112" t="s">
        <v>1319</v>
      </c>
      <c r="B510" s="112">
        <v>2</v>
      </c>
      <c r="C510" s="114">
        <v>0.011876974462986922</v>
      </c>
      <c r="D510" s="112" t="s">
        <v>348</v>
      </c>
      <c r="E510" s="112" t="b">
        <v>0</v>
      </c>
      <c r="F510" s="112" t="b">
        <v>0</v>
      </c>
      <c r="G510" s="112" t="b">
        <v>0</v>
      </c>
    </row>
    <row r="511" spans="1:7" ht="15">
      <c r="A511" s="112" t="s">
        <v>490</v>
      </c>
      <c r="B511" s="112">
        <v>2</v>
      </c>
      <c r="C511" s="114">
        <v>0.011876974462986922</v>
      </c>
      <c r="D511" s="112" t="s">
        <v>348</v>
      </c>
      <c r="E511" s="112" t="b">
        <v>0</v>
      </c>
      <c r="F511" s="112" t="b">
        <v>0</v>
      </c>
      <c r="G511" s="112" t="b">
        <v>0</v>
      </c>
    </row>
    <row r="512" spans="1:7" ht="15">
      <c r="A512" s="112" t="s">
        <v>472</v>
      </c>
      <c r="B512" s="112">
        <v>2</v>
      </c>
      <c r="C512" s="114">
        <v>0.011876974462986922</v>
      </c>
      <c r="D512" s="112" t="s">
        <v>348</v>
      </c>
      <c r="E512" s="112" t="b">
        <v>1</v>
      </c>
      <c r="F512" s="112" t="b">
        <v>0</v>
      </c>
      <c r="G512" s="112" t="b">
        <v>0</v>
      </c>
    </row>
    <row r="513" spans="1:7" ht="15">
      <c r="A513" s="112" t="s">
        <v>507</v>
      </c>
      <c r="B513" s="112">
        <v>2</v>
      </c>
      <c r="C513" s="114">
        <v>0.01499645628333906</v>
      </c>
      <c r="D513" s="112" t="s">
        <v>348</v>
      </c>
      <c r="E513" s="112" t="b">
        <v>0</v>
      </c>
      <c r="F513" s="112" t="b">
        <v>0</v>
      </c>
      <c r="G513" s="112" t="b">
        <v>0</v>
      </c>
    </row>
    <row r="514" spans="1:7" ht="15">
      <c r="A514" s="112" t="s">
        <v>416</v>
      </c>
      <c r="B514" s="112">
        <v>3</v>
      </c>
      <c r="C514" s="114">
        <v>0.019421290042837495</v>
      </c>
      <c r="D514" s="112" t="s">
        <v>349</v>
      </c>
      <c r="E514" s="112" t="b">
        <v>0</v>
      </c>
      <c r="F514" s="112" t="b">
        <v>0</v>
      </c>
      <c r="G514" s="112" t="b">
        <v>0</v>
      </c>
    </row>
    <row r="515" spans="1:7" ht="15">
      <c r="A515" s="112" t="s">
        <v>373</v>
      </c>
      <c r="B515" s="112">
        <v>3</v>
      </c>
      <c r="C515" s="114">
        <v>0.019421290042837495</v>
      </c>
      <c r="D515" s="112" t="s">
        <v>349</v>
      </c>
      <c r="E515" s="112" t="b">
        <v>0</v>
      </c>
      <c r="F515" s="112" t="b">
        <v>0</v>
      </c>
      <c r="G515" s="112" t="b">
        <v>0</v>
      </c>
    </row>
    <row r="516" spans="1:7" ht="15">
      <c r="A516" s="112" t="s">
        <v>398</v>
      </c>
      <c r="B516" s="112">
        <v>2</v>
      </c>
      <c r="C516" s="114">
        <v>0.01673443549212137</v>
      </c>
      <c r="D516" s="112" t="s">
        <v>349</v>
      </c>
      <c r="E516" s="112" t="b">
        <v>0</v>
      </c>
      <c r="F516" s="112" t="b">
        <v>0</v>
      </c>
      <c r="G516" s="112" t="b">
        <v>0</v>
      </c>
    </row>
    <row r="517" spans="1:7" ht="15">
      <c r="A517" s="112" t="s">
        <v>457</v>
      </c>
      <c r="B517" s="112">
        <v>2</v>
      </c>
      <c r="C517" s="114">
        <v>0.01673443549212137</v>
      </c>
      <c r="D517" s="112" t="s">
        <v>349</v>
      </c>
      <c r="E517" s="112" t="b">
        <v>0</v>
      </c>
      <c r="F517" s="112" t="b">
        <v>0</v>
      </c>
      <c r="G517" s="112" t="b">
        <v>0</v>
      </c>
    </row>
    <row r="518" spans="1:7" ht="15">
      <c r="A518" s="112" t="s">
        <v>400</v>
      </c>
      <c r="B518" s="112">
        <v>2</v>
      </c>
      <c r="C518" s="114">
        <v>0.01673443549212137</v>
      </c>
      <c r="D518" s="112" t="s">
        <v>349</v>
      </c>
      <c r="E518" s="112" t="b">
        <v>0</v>
      </c>
      <c r="F518" s="112" t="b">
        <v>0</v>
      </c>
      <c r="G518" s="112" t="b">
        <v>0</v>
      </c>
    </row>
    <row r="519" spans="1:7" ht="15">
      <c r="A519" s="112" t="s">
        <v>1345</v>
      </c>
      <c r="B519" s="112">
        <v>2</v>
      </c>
      <c r="C519" s="114">
        <v>0.01673443549212137</v>
      </c>
      <c r="D519" s="112" t="s">
        <v>349</v>
      </c>
      <c r="E519" s="112" t="b">
        <v>0</v>
      </c>
      <c r="F519" s="112" t="b">
        <v>0</v>
      </c>
      <c r="G519" s="112" t="b">
        <v>0</v>
      </c>
    </row>
    <row r="520" spans="1:7" ht="15">
      <c r="A520" s="112" t="s">
        <v>479</v>
      </c>
      <c r="B520" s="112">
        <v>2</v>
      </c>
      <c r="C520" s="114">
        <v>0.01673443549212137</v>
      </c>
      <c r="D520" s="112" t="s">
        <v>349</v>
      </c>
      <c r="E520" s="112" t="b">
        <v>0</v>
      </c>
      <c r="F520" s="112" t="b">
        <v>1</v>
      </c>
      <c r="G520" s="112" t="b">
        <v>0</v>
      </c>
    </row>
    <row r="521" spans="1:7" ht="15">
      <c r="A521" s="112" t="s">
        <v>1250</v>
      </c>
      <c r="B521" s="112">
        <v>2</v>
      </c>
      <c r="C521" s="114">
        <v>0.01673443549212137</v>
      </c>
      <c r="D521" s="112" t="s">
        <v>349</v>
      </c>
      <c r="E521" s="112" t="b">
        <v>0</v>
      </c>
      <c r="F521" s="112" t="b">
        <v>0</v>
      </c>
      <c r="G521" s="112" t="b">
        <v>0</v>
      </c>
    </row>
    <row r="522" spans="1:7" ht="15">
      <c r="A522" s="112" t="s">
        <v>1251</v>
      </c>
      <c r="B522" s="112">
        <v>2</v>
      </c>
      <c r="C522" s="114">
        <v>0.01673443549212137</v>
      </c>
      <c r="D522" s="112" t="s">
        <v>349</v>
      </c>
      <c r="E522" s="112" t="b">
        <v>0</v>
      </c>
      <c r="F522" s="112" t="b">
        <v>0</v>
      </c>
      <c r="G522" s="112" t="b">
        <v>0</v>
      </c>
    </row>
    <row r="523" spans="1:7" ht="15">
      <c r="A523" s="112" t="s">
        <v>543</v>
      </c>
      <c r="B523" s="112">
        <v>2</v>
      </c>
      <c r="C523" s="114">
        <v>0.023208198839733872</v>
      </c>
      <c r="D523" s="112" t="s">
        <v>349</v>
      </c>
      <c r="E523" s="112" t="b">
        <v>0</v>
      </c>
      <c r="F523" s="112" t="b">
        <v>0</v>
      </c>
      <c r="G523" s="112" t="b">
        <v>0</v>
      </c>
    </row>
    <row r="524" spans="1:7" ht="15">
      <c r="A524" s="112" t="s">
        <v>373</v>
      </c>
      <c r="B524" s="112">
        <v>3</v>
      </c>
      <c r="C524" s="114">
        <v>0.02995585732868652</v>
      </c>
      <c r="D524" s="112" t="s">
        <v>350</v>
      </c>
      <c r="E524" s="112" t="b">
        <v>0</v>
      </c>
      <c r="F524" s="112" t="b">
        <v>0</v>
      </c>
      <c r="G524" s="112" t="b">
        <v>0</v>
      </c>
    </row>
    <row r="525" spans="1:7" ht="15">
      <c r="A525" s="112" t="s">
        <v>387</v>
      </c>
      <c r="B525" s="112">
        <v>2</v>
      </c>
      <c r="C525" s="114">
        <v>0.01997057155245768</v>
      </c>
      <c r="D525" s="112" t="s">
        <v>350</v>
      </c>
      <c r="E525" s="112" t="b">
        <v>0</v>
      </c>
      <c r="F525" s="112" t="b">
        <v>0</v>
      </c>
      <c r="G525" s="112" t="b">
        <v>0</v>
      </c>
    </row>
    <row r="526" spans="1:7" ht="15">
      <c r="A526" s="112" t="s">
        <v>550</v>
      </c>
      <c r="B526" s="112">
        <v>2</v>
      </c>
      <c r="C526" s="114">
        <v>0.01997057155245768</v>
      </c>
      <c r="D526" s="112" t="s">
        <v>350</v>
      </c>
      <c r="E526" s="112" t="b">
        <v>0</v>
      </c>
      <c r="F526" s="112" t="b">
        <v>0</v>
      </c>
      <c r="G526" s="112" t="b">
        <v>0</v>
      </c>
    </row>
    <row r="527" spans="1:7" ht="15">
      <c r="A527" s="112" t="s">
        <v>1336</v>
      </c>
      <c r="B527" s="112">
        <v>2</v>
      </c>
      <c r="C527" s="114">
        <v>0.01997057155245768</v>
      </c>
      <c r="D527" s="112" t="s">
        <v>350</v>
      </c>
      <c r="E527" s="112" t="b">
        <v>0</v>
      </c>
      <c r="F527" s="112" t="b">
        <v>0</v>
      </c>
      <c r="G527" s="112" t="b">
        <v>0</v>
      </c>
    </row>
    <row r="528" spans="1:7" ht="15">
      <c r="A528" s="112" t="s">
        <v>509</v>
      </c>
      <c r="B528" s="112">
        <v>2</v>
      </c>
      <c r="C528" s="114">
        <v>0.01997057155245768</v>
      </c>
      <c r="D528" s="112" t="s">
        <v>350</v>
      </c>
      <c r="E528" s="112" t="b">
        <v>0</v>
      </c>
      <c r="F528" s="112" t="b">
        <v>0</v>
      </c>
      <c r="G528" s="112" t="b">
        <v>0</v>
      </c>
    </row>
    <row r="529" spans="1:7" ht="15">
      <c r="A529" s="112" t="s">
        <v>436</v>
      </c>
      <c r="B529" s="112">
        <v>2</v>
      </c>
      <c r="C529" s="114">
        <v>0.01997057155245768</v>
      </c>
      <c r="D529" s="112" t="s">
        <v>350</v>
      </c>
      <c r="E529" s="112" t="b">
        <v>1</v>
      </c>
      <c r="F529" s="112" t="b">
        <v>0</v>
      </c>
      <c r="G529" s="112" t="b">
        <v>0</v>
      </c>
    </row>
    <row r="530" spans="1:7" ht="15">
      <c r="A530" s="112" t="s">
        <v>413</v>
      </c>
      <c r="B530" s="112">
        <v>2</v>
      </c>
      <c r="C530" s="114">
        <v>0.01997057155245768</v>
      </c>
      <c r="D530" s="112" t="s">
        <v>350</v>
      </c>
      <c r="E530" s="112" t="b">
        <v>0</v>
      </c>
      <c r="F530" s="112" t="b">
        <v>0</v>
      </c>
      <c r="G530" s="112" t="b">
        <v>0</v>
      </c>
    </row>
    <row r="531" spans="1:7" ht="15">
      <c r="A531" s="112" t="s">
        <v>1338</v>
      </c>
      <c r="B531" s="112">
        <v>2</v>
      </c>
      <c r="C531" s="114">
        <v>0.02857142857142857</v>
      </c>
      <c r="D531" s="112" t="s">
        <v>350</v>
      </c>
      <c r="E531" s="112" t="b">
        <v>0</v>
      </c>
      <c r="F531" s="112" t="b">
        <v>0</v>
      </c>
      <c r="G531" s="112" t="b">
        <v>0</v>
      </c>
    </row>
    <row r="532" spans="1:7" ht="15">
      <c r="A532" s="112" t="s">
        <v>374</v>
      </c>
      <c r="B532" s="112">
        <v>2</v>
      </c>
      <c r="C532" s="114">
        <v>0.02857142857142857</v>
      </c>
      <c r="D532" s="112" t="s">
        <v>350</v>
      </c>
      <c r="E532" s="112" t="b">
        <v>0</v>
      </c>
      <c r="F532" s="112" t="b">
        <v>0</v>
      </c>
      <c r="G532" s="112" t="b">
        <v>0</v>
      </c>
    </row>
    <row r="533" spans="1:7" ht="15">
      <c r="A533" s="112" t="s">
        <v>572</v>
      </c>
      <c r="B533" s="112">
        <v>2</v>
      </c>
      <c r="C533" s="114">
        <v>0.02857142857142857</v>
      </c>
      <c r="D533" s="112" t="s">
        <v>350</v>
      </c>
      <c r="E533" s="112" t="b">
        <v>0</v>
      </c>
      <c r="F533" s="112" t="b">
        <v>0</v>
      </c>
      <c r="G533" s="112" t="b">
        <v>0</v>
      </c>
    </row>
    <row r="534" spans="1:7" ht="15">
      <c r="A534" s="112" t="s">
        <v>1252</v>
      </c>
      <c r="B534" s="112">
        <v>6</v>
      </c>
      <c r="C534" s="114">
        <v>0.12</v>
      </c>
      <c r="D534" s="112" t="s">
        <v>351</v>
      </c>
      <c r="E534" s="112" t="b">
        <v>0</v>
      </c>
      <c r="F534" s="112" t="b">
        <v>0</v>
      </c>
      <c r="G534" s="112" t="b">
        <v>0</v>
      </c>
    </row>
    <row r="535" spans="1:7" ht="15">
      <c r="A535" s="112" t="s">
        <v>1255</v>
      </c>
      <c r="B535" s="112">
        <v>5</v>
      </c>
      <c r="C535" s="114">
        <v>0.06989700043360189</v>
      </c>
      <c r="D535" s="112" t="s">
        <v>351</v>
      </c>
      <c r="E535" s="112" t="b">
        <v>0</v>
      </c>
      <c r="F535" s="112" t="b">
        <v>0</v>
      </c>
      <c r="G535" s="112" t="b">
        <v>0</v>
      </c>
    </row>
    <row r="536" spans="1:7" ht="15">
      <c r="A536" s="112" t="s">
        <v>458</v>
      </c>
      <c r="B536" s="112">
        <v>3</v>
      </c>
      <c r="C536" s="114">
        <v>0.04193820026016113</v>
      </c>
      <c r="D536" s="112" t="s">
        <v>351</v>
      </c>
      <c r="E536" s="112" t="b">
        <v>0</v>
      </c>
      <c r="F536" s="112" t="b">
        <v>0</v>
      </c>
      <c r="G536" s="112" t="b">
        <v>0</v>
      </c>
    </row>
    <row r="537" spans="1:7" ht="15">
      <c r="A537" s="112" t="s">
        <v>1278</v>
      </c>
      <c r="B537" s="112">
        <v>2</v>
      </c>
      <c r="C537" s="114">
        <v>0.027958800173440754</v>
      </c>
      <c r="D537" s="112" t="s">
        <v>351</v>
      </c>
      <c r="E537" s="112" t="b">
        <v>0</v>
      </c>
      <c r="F537" s="112" t="b">
        <v>0</v>
      </c>
      <c r="G537" s="112" t="b">
        <v>0</v>
      </c>
    </row>
    <row r="538" spans="1:7" ht="15">
      <c r="A538" s="112" t="s">
        <v>1279</v>
      </c>
      <c r="B538" s="112">
        <v>2</v>
      </c>
      <c r="C538" s="114">
        <v>0.027958800173440754</v>
      </c>
      <c r="D538" s="112" t="s">
        <v>351</v>
      </c>
      <c r="E538" s="112" t="b">
        <v>0</v>
      </c>
      <c r="F538" s="112" t="b">
        <v>0</v>
      </c>
      <c r="G538" s="112" t="b">
        <v>0</v>
      </c>
    </row>
    <row r="539" spans="1:7" ht="15">
      <c r="A539" s="112" t="s">
        <v>499</v>
      </c>
      <c r="B539" s="112">
        <v>2</v>
      </c>
      <c r="C539" s="114">
        <v>0.027958800173440754</v>
      </c>
      <c r="D539" s="112" t="s">
        <v>351</v>
      </c>
      <c r="E539" s="112" t="b">
        <v>0</v>
      </c>
      <c r="F539" s="112" t="b">
        <v>0</v>
      </c>
      <c r="G539" s="11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3045-3213-4474-A306-A27C705C9946}">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588</v>
      </c>
      <c r="B1" s="13" t="s">
        <v>589</v>
      </c>
      <c r="C1" s="13" t="s">
        <v>579</v>
      </c>
      <c r="D1" s="13" t="s">
        <v>583</v>
      </c>
      <c r="E1" s="13" t="s">
        <v>590</v>
      </c>
      <c r="F1" s="13" t="s">
        <v>144</v>
      </c>
      <c r="G1" s="13" t="s">
        <v>591</v>
      </c>
      <c r="H1" s="13" t="s">
        <v>592</v>
      </c>
      <c r="I1" s="13" t="s">
        <v>593</v>
      </c>
      <c r="J1" s="13" t="s">
        <v>594</v>
      </c>
      <c r="K1" s="13" t="s">
        <v>595</v>
      </c>
      <c r="L1" s="13" t="s">
        <v>596</v>
      </c>
    </row>
    <row r="2" spans="1:12" ht="15">
      <c r="A2" s="112" t="s">
        <v>379</v>
      </c>
      <c r="B2" s="112" t="s">
        <v>380</v>
      </c>
      <c r="C2" s="112">
        <v>10</v>
      </c>
      <c r="D2" s="114">
        <v>0.008011338433474811</v>
      </c>
      <c r="E2" s="114">
        <v>2.0416746030401813</v>
      </c>
      <c r="F2" s="112" t="s">
        <v>584</v>
      </c>
      <c r="G2" s="112" t="b">
        <v>0</v>
      </c>
      <c r="H2" s="112" t="b">
        <v>0</v>
      </c>
      <c r="I2" s="112" t="b">
        <v>0</v>
      </c>
      <c r="J2" s="112" t="b">
        <v>0</v>
      </c>
      <c r="K2" s="112" t="b">
        <v>0</v>
      </c>
      <c r="L2" s="112" t="b">
        <v>0</v>
      </c>
    </row>
    <row r="3" spans="1:12" ht="15">
      <c r="A3" s="112" t="s">
        <v>1250</v>
      </c>
      <c r="B3" s="112" t="s">
        <v>1251</v>
      </c>
      <c r="C3" s="112">
        <v>8</v>
      </c>
      <c r="D3" s="114">
        <v>0.00640907074677985</v>
      </c>
      <c r="E3" s="114">
        <v>2.2847126517264758</v>
      </c>
      <c r="F3" s="112" t="s">
        <v>584</v>
      </c>
      <c r="G3" s="112" t="b">
        <v>0</v>
      </c>
      <c r="H3" s="112" t="b">
        <v>0</v>
      </c>
      <c r="I3" s="112" t="b">
        <v>0</v>
      </c>
      <c r="J3" s="112" t="b">
        <v>0</v>
      </c>
      <c r="K3" s="112" t="b">
        <v>0</v>
      </c>
      <c r="L3" s="112" t="b">
        <v>0</v>
      </c>
    </row>
    <row r="4" spans="1:12" ht="15">
      <c r="A4" s="112" t="s">
        <v>573</v>
      </c>
      <c r="B4" s="112" t="s">
        <v>534</v>
      </c>
      <c r="C4" s="112">
        <v>6</v>
      </c>
      <c r="D4" s="114">
        <v>0.005513100577925458</v>
      </c>
      <c r="E4" s="114">
        <v>2.1878026387184195</v>
      </c>
      <c r="F4" s="112" t="s">
        <v>584</v>
      </c>
      <c r="G4" s="112" t="b">
        <v>0</v>
      </c>
      <c r="H4" s="112" t="b">
        <v>0</v>
      </c>
      <c r="I4" s="112" t="b">
        <v>0</v>
      </c>
      <c r="J4" s="112" t="b">
        <v>0</v>
      </c>
      <c r="K4" s="112" t="b">
        <v>0</v>
      </c>
      <c r="L4" s="112" t="b">
        <v>0</v>
      </c>
    </row>
    <row r="5" spans="1:12" ht="15">
      <c r="A5" s="112" t="s">
        <v>1252</v>
      </c>
      <c r="B5" s="112" t="s">
        <v>1252</v>
      </c>
      <c r="C5" s="112">
        <v>5</v>
      </c>
      <c r="D5" s="114">
        <v>0.00660973492317323</v>
      </c>
      <c r="E5" s="114">
        <v>2.4096513883347757</v>
      </c>
      <c r="F5" s="112" t="s">
        <v>584</v>
      </c>
      <c r="G5" s="112" t="b">
        <v>0</v>
      </c>
      <c r="H5" s="112" t="b">
        <v>0</v>
      </c>
      <c r="I5" s="112" t="b">
        <v>0</v>
      </c>
      <c r="J5" s="112" t="b">
        <v>0</v>
      </c>
      <c r="K5" s="112" t="b">
        <v>0</v>
      </c>
      <c r="L5" s="112" t="b">
        <v>0</v>
      </c>
    </row>
    <row r="6" spans="1:12" ht="15">
      <c r="A6" s="112" t="s">
        <v>493</v>
      </c>
      <c r="B6" s="112" t="s">
        <v>471</v>
      </c>
      <c r="C6" s="112">
        <v>5</v>
      </c>
      <c r="D6" s="114">
        <v>0.004873691118882681</v>
      </c>
      <c r="E6" s="114">
        <v>1.9325301336151133</v>
      </c>
      <c r="F6" s="112" t="s">
        <v>584</v>
      </c>
      <c r="G6" s="112" t="b">
        <v>0</v>
      </c>
      <c r="H6" s="112" t="b">
        <v>0</v>
      </c>
      <c r="I6" s="112" t="b">
        <v>0</v>
      </c>
      <c r="J6" s="112" t="b">
        <v>0</v>
      </c>
      <c r="K6" s="112" t="b">
        <v>0</v>
      </c>
      <c r="L6" s="112" t="b">
        <v>0</v>
      </c>
    </row>
    <row r="7" spans="1:12" ht="15">
      <c r="A7" s="112" t="s">
        <v>398</v>
      </c>
      <c r="B7" s="112" t="s">
        <v>457</v>
      </c>
      <c r="C7" s="112">
        <v>5</v>
      </c>
      <c r="D7" s="114">
        <v>0.004594250481604548</v>
      </c>
      <c r="E7" s="114">
        <v>2.3427045987041626</v>
      </c>
      <c r="F7" s="112" t="s">
        <v>584</v>
      </c>
      <c r="G7" s="112" t="b">
        <v>0</v>
      </c>
      <c r="H7" s="112" t="b">
        <v>0</v>
      </c>
      <c r="I7" s="112" t="b">
        <v>0</v>
      </c>
      <c r="J7" s="112" t="b">
        <v>0</v>
      </c>
      <c r="K7" s="112" t="b">
        <v>0</v>
      </c>
      <c r="L7" s="112" t="b">
        <v>0</v>
      </c>
    </row>
    <row r="8" spans="1:12" ht="15">
      <c r="A8" s="112" t="s">
        <v>1258</v>
      </c>
      <c r="B8" s="112" t="s">
        <v>1259</v>
      </c>
      <c r="C8" s="112">
        <v>4</v>
      </c>
      <c r="D8" s="114">
        <v>0.0038989528951061444</v>
      </c>
      <c r="E8" s="114">
        <v>2.585742647390457</v>
      </c>
      <c r="F8" s="112" t="s">
        <v>584</v>
      </c>
      <c r="G8" s="112" t="b">
        <v>0</v>
      </c>
      <c r="H8" s="112" t="b">
        <v>0</v>
      </c>
      <c r="I8" s="112" t="b">
        <v>0</v>
      </c>
      <c r="J8" s="112" t="b">
        <v>0</v>
      </c>
      <c r="K8" s="112" t="b">
        <v>0</v>
      </c>
      <c r="L8" s="112" t="b">
        <v>0</v>
      </c>
    </row>
    <row r="9" spans="1:12" ht="15">
      <c r="A9" s="112" t="s">
        <v>1254</v>
      </c>
      <c r="B9" s="112" t="s">
        <v>1260</v>
      </c>
      <c r="C9" s="112">
        <v>4</v>
      </c>
      <c r="D9" s="114">
        <v>0.0038989528951061444</v>
      </c>
      <c r="E9" s="114">
        <v>2.4888326343824003</v>
      </c>
      <c r="F9" s="112" t="s">
        <v>584</v>
      </c>
      <c r="G9" s="112" t="b">
        <v>0</v>
      </c>
      <c r="H9" s="112" t="b">
        <v>0</v>
      </c>
      <c r="I9" s="112" t="b">
        <v>0</v>
      </c>
      <c r="J9" s="112" t="b">
        <v>0</v>
      </c>
      <c r="K9" s="112" t="b">
        <v>0</v>
      </c>
      <c r="L9" s="112" t="b">
        <v>0</v>
      </c>
    </row>
    <row r="10" spans="1:12" ht="15">
      <c r="A10" s="112" t="s">
        <v>1270</v>
      </c>
      <c r="B10" s="112" t="s">
        <v>554</v>
      </c>
      <c r="C10" s="112">
        <v>3</v>
      </c>
      <c r="D10" s="114">
        <v>0.003445027812616773</v>
      </c>
      <c r="E10" s="114">
        <v>2.710681383998757</v>
      </c>
      <c r="F10" s="112" t="s">
        <v>584</v>
      </c>
      <c r="G10" s="112" t="b">
        <v>0</v>
      </c>
      <c r="H10" s="112" t="b">
        <v>0</v>
      </c>
      <c r="I10" s="112" t="b">
        <v>0</v>
      </c>
      <c r="J10" s="112" t="b">
        <v>0</v>
      </c>
      <c r="K10" s="112" t="b">
        <v>0</v>
      </c>
      <c r="L10" s="112" t="b">
        <v>0</v>
      </c>
    </row>
    <row r="11" spans="1:12" ht="15">
      <c r="A11" s="112" t="s">
        <v>1278</v>
      </c>
      <c r="B11" s="112" t="s">
        <v>1279</v>
      </c>
      <c r="C11" s="112">
        <v>2</v>
      </c>
      <c r="D11" s="114">
        <v>0.002296685208411182</v>
      </c>
      <c r="E11" s="114">
        <v>2.8867726430544383</v>
      </c>
      <c r="F11" s="112" t="s">
        <v>584</v>
      </c>
      <c r="G11" s="112" t="b">
        <v>0</v>
      </c>
      <c r="H11" s="112" t="b">
        <v>0</v>
      </c>
      <c r="I11" s="112" t="b">
        <v>0</v>
      </c>
      <c r="J11" s="112" t="b">
        <v>0</v>
      </c>
      <c r="K11" s="112" t="b">
        <v>0</v>
      </c>
      <c r="L11" s="112" t="b">
        <v>0</v>
      </c>
    </row>
    <row r="12" spans="1:12" ht="15">
      <c r="A12" s="112" t="s">
        <v>573</v>
      </c>
      <c r="B12" s="112" t="s">
        <v>416</v>
      </c>
      <c r="C12" s="112">
        <v>2</v>
      </c>
      <c r="D12" s="114">
        <v>0.002296685208411182</v>
      </c>
      <c r="E12" s="114">
        <v>1.2583837130041267</v>
      </c>
      <c r="F12" s="112" t="s">
        <v>584</v>
      </c>
      <c r="G12" s="112" t="b">
        <v>0</v>
      </c>
      <c r="H12" s="112" t="b">
        <v>0</v>
      </c>
      <c r="I12" s="112" t="b">
        <v>0</v>
      </c>
      <c r="J12" s="112" t="b">
        <v>0</v>
      </c>
      <c r="K12" s="112" t="b">
        <v>0</v>
      </c>
      <c r="L12" s="112" t="b">
        <v>0</v>
      </c>
    </row>
    <row r="13" spans="1:12" ht="15">
      <c r="A13" s="112" t="s">
        <v>1256</v>
      </c>
      <c r="B13" s="112" t="s">
        <v>1262</v>
      </c>
      <c r="C13" s="112">
        <v>2</v>
      </c>
      <c r="D13" s="114">
        <v>0.002296685208411182</v>
      </c>
      <c r="E13" s="114">
        <v>2.4096513883347757</v>
      </c>
      <c r="F13" s="112" t="s">
        <v>584</v>
      </c>
      <c r="G13" s="112" t="b">
        <v>1</v>
      </c>
      <c r="H13" s="112" t="b">
        <v>0</v>
      </c>
      <c r="I13" s="112" t="b">
        <v>0</v>
      </c>
      <c r="J13" s="112" t="b">
        <v>0</v>
      </c>
      <c r="K13" s="112" t="b">
        <v>0</v>
      </c>
      <c r="L13" s="112" t="b">
        <v>0</v>
      </c>
    </row>
    <row r="14" spans="1:12" ht="15">
      <c r="A14" s="112" t="s">
        <v>373</v>
      </c>
      <c r="B14" s="112" t="s">
        <v>493</v>
      </c>
      <c r="C14" s="112">
        <v>2</v>
      </c>
      <c r="D14" s="114">
        <v>0.002296685208411182</v>
      </c>
      <c r="E14" s="114">
        <v>1.0526699873416445</v>
      </c>
      <c r="F14" s="112" t="s">
        <v>584</v>
      </c>
      <c r="G14" s="112" t="b">
        <v>0</v>
      </c>
      <c r="H14" s="112" t="b">
        <v>0</v>
      </c>
      <c r="I14" s="112" t="b">
        <v>0</v>
      </c>
      <c r="J14" s="112" t="b">
        <v>0</v>
      </c>
      <c r="K14" s="112" t="b">
        <v>0</v>
      </c>
      <c r="L14" s="112" t="b">
        <v>0</v>
      </c>
    </row>
    <row r="15" spans="1:12" ht="15">
      <c r="A15" s="112" t="s">
        <v>1286</v>
      </c>
      <c r="B15" s="112" t="s">
        <v>1287</v>
      </c>
      <c r="C15" s="112">
        <v>2</v>
      </c>
      <c r="D15" s="114">
        <v>0.002296685208411182</v>
      </c>
      <c r="E15" s="114">
        <v>2.8867726430544383</v>
      </c>
      <c r="F15" s="112" t="s">
        <v>584</v>
      </c>
      <c r="G15" s="112" t="b">
        <v>0</v>
      </c>
      <c r="H15" s="112" t="b">
        <v>0</v>
      </c>
      <c r="I15" s="112" t="b">
        <v>0</v>
      </c>
      <c r="J15" s="112" t="b">
        <v>0</v>
      </c>
      <c r="K15" s="112" t="b">
        <v>0</v>
      </c>
      <c r="L15" s="112" t="b">
        <v>0</v>
      </c>
    </row>
    <row r="16" spans="1:12" ht="15">
      <c r="A16" s="112" t="s">
        <v>495</v>
      </c>
      <c r="B16" s="112" t="s">
        <v>1289</v>
      </c>
      <c r="C16" s="112">
        <v>2</v>
      </c>
      <c r="D16" s="114">
        <v>0.0026438939692692916</v>
      </c>
      <c r="E16" s="114">
        <v>2.585742647390457</v>
      </c>
      <c r="F16" s="112" t="s">
        <v>584</v>
      </c>
      <c r="G16" s="112" t="b">
        <v>0</v>
      </c>
      <c r="H16" s="112" t="b">
        <v>0</v>
      </c>
      <c r="I16" s="112" t="b">
        <v>0</v>
      </c>
      <c r="J16" s="112" t="b">
        <v>0</v>
      </c>
      <c r="K16" s="112" t="b">
        <v>0</v>
      </c>
      <c r="L16" s="112" t="b">
        <v>0</v>
      </c>
    </row>
    <row r="17" spans="1:12" ht="15">
      <c r="A17" s="112" t="s">
        <v>1291</v>
      </c>
      <c r="B17" s="112" t="s">
        <v>533</v>
      </c>
      <c r="C17" s="112">
        <v>2</v>
      </c>
      <c r="D17" s="114">
        <v>0.0026438939692692916</v>
      </c>
      <c r="E17" s="114">
        <v>2.8867726430544383</v>
      </c>
      <c r="F17" s="112" t="s">
        <v>584</v>
      </c>
      <c r="G17" s="112" t="b">
        <v>0</v>
      </c>
      <c r="H17" s="112" t="b">
        <v>0</v>
      </c>
      <c r="I17" s="112" t="b">
        <v>0</v>
      </c>
      <c r="J17" s="112" t="b">
        <v>0</v>
      </c>
      <c r="K17" s="112" t="b">
        <v>0</v>
      </c>
      <c r="L17" s="112" t="b">
        <v>0</v>
      </c>
    </row>
    <row r="18" spans="1:12" ht="15">
      <c r="A18" s="112" t="s">
        <v>1293</v>
      </c>
      <c r="B18" s="112" t="s">
        <v>399</v>
      </c>
      <c r="C18" s="112">
        <v>2</v>
      </c>
      <c r="D18" s="114">
        <v>0.002296685208411182</v>
      </c>
      <c r="E18" s="114">
        <v>2.4096513883347757</v>
      </c>
      <c r="F18" s="112" t="s">
        <v>584</v>
      </c>
      <c r="G18" s="112" t="b">
        <v>0</v>
      </c>
      <c r="H18" s="112" t="b">
        <v>0</v>
      </c>
      <c r="I18" s="112" t="b">
        <v>0</v>
      </c>
      <c r="J18" s="112" t="b">
        <v>0</v>
      </c>
      <c r="K18" s="112" t="b">
        <v>0</v>
      </c>
      <c r="L18" s="112" t="b">
        <v>0</v>
      </c>
    </row>
    <row r="19" spans="1:12" ht="15">
      <c r="A19" s="112" t="s">
        <v>1255</v>
      </c>
      <c r="B19" s="112" t="s">
        <v>1255</v>
      </c>
      <c r="C19" s="112">
        <v>2</v>
      </c>
      <c r="D19" s="114">
        <v>0.0026438939692692916</v>
      </c>
      <c r="E19" s="114">
        <v>2.3127413753267194</v>
      </c>
      <c r="F19" s="112" t="s">
        <v>584</v>
      </c>
      <c r="G19" s="112" t="b">
        <v>0</v>
      </c>
      <c r="H19" s="112" t="b">
        <v>0</v>
      </c>
      <c r="I19" s="112" t="b">
        <v>0</v>
      </c>
      <c r="J19" s="112" t="b">
        <v>0</v>
      </c>
      <c r="K19" s="112" t="b">
        <v>0</v>
      </c>
      <c r="L19" s="112" t="b">
        <v>0</v>
      </c>
    </row>
    <row r="20" spans="1:12" ht="15">
      <c r="A20" s="112" t="s">
        <v>482</v>
      </c>
      <c r="B20" s="112" t="s">
        <v>373</v>
      </c>
      <c r="C20" s="112">
        <v>2</v>
      </c>
      <c r="D20" s="114">
        <v>0.002296685208411182</v>
      </c>
      <c r="E20" s="114">
        <v>1.4096513883347757</v>
      </c>
      <c r="F20" s="112" t="s">
        <v>584</v>
      </c>
      <c r="G20" s="112" t="b">
        <v>0</v>
      </c>
      <c r="H20" s="112" t="b">
        <v>0</v>
      </c>
      <c r="I20" s="112" t="b">
        <v>0</v>
      </c>
      <c r="J20" s="112" t="b">
        <v>0</v>
      </c>
      <c r="K20" s="112" t="b">
        <v>0</v>
      </c>
      <c r="L20" s="112" t="b">
        <v>0</v>
      </c>
    </row>
    <row r="21" spans="1:12" ht="15">
      <c r="A21" s="112" t="s">
        <v>378</v>
      </c>
      <c r="B21" s="112" t="s">
        <v>379</v>
      </c>
      <c r="C21" s="112">
        <v>2</v>
      </c>
      <c r="D21" s="114">
        <v>0.002296685208411182</v>
      </c>
      <c r="E21" s="114">
        <v>1.585742647390457</v>
      </c>
      <c r="F21" s="112" t="s">
        <v>584</v>
      </c>
      <c r="G21" s="112" t="b">
        <v>0</v>
      </c>
      <c r="H21" s="112" t="b">
        <v>0</v>
      </c>
      <c r="I21" s="112" t="b">
        <v>0</v>
      </c>
      <c r="J21" s="112" t="b">
        <v>0</v>
      </c>
      <c r="K21" s="112" t="b">
        <v>0</v>
      </c>
      <c r="L21" s="112" t="b">
        <v>0</v>
      </c>
    </row>
    <row r="22" spans="1:12" ht="15">
      <c r="A22" s="112" t="s">
        <v>575</v>
      </c>
      <c r="B22" s="112" t="s">
        <v>373</v>
      </c>
      <c r="C22" s="112">
        <v>2</v>
      </c>
      <c r="D22" s="114">
        <v>0.002296685208411182</v>
      </c>
      <c r="E22" s="114">
        <v>1.2847126517264758</v>
      </c>
      <c r="F22" s="112" t="s">
        <v>584</v>
      </c>
      <c r="G22" s="112" t="b">
        <v>0</v>
      </c>
      <c r="H22" s="112" t="b">
        <v>1</v>
      </c>
      <c r="I22" s="112" t="b">
        <v>0</v>
      </c>
      <c r="J22" s="112" t="b">
        <v>0</v>
      </c>
      <c r="K22" s="112" t="b">
        <v>0</v>
      </c>
      <c r="L22" s="112" t="b">
        <v>0</v>
      </c>
    </row>
    <row r="23" spans="1:12" ht="15">
      <c r="A23" s="112" t="s">
        <v>373</v>
      </c>
      <c r="B23" s="112" t="s">
        <v>422</v>
      </c>
      <c r="C23" s="112">
        <v>2</v>
      </c>
      <c r="D23" s="114">
        <v>0.002296685208411182</v>
      </c>
      <c r="E23" s="114">
        <v>1.4206467726362388</v>
      </c>
      <c r="F23" s="112" t="s">
        <v>584</v>
      </c>
      <c r="G23" s="112" t="b">
        <v>0</v>
      </c>
      <c r="H23" s="112" t="b">
        <v>0</v>
      </c>
      <c r="I23" s="112" t="b">
        <v>0</v>
      </c>
      <c r="J23" s="112" t="b">
        <v>0</v>
      </c>
      <c r="K23" s="112" t="b">
        <v>1</v>
      </c>
      <c r="L23" s="112" t="b">
        <v>0</v>
      </c>
    </row>
    <row r="24" spans="1:12" ht="15">
      <c r="A24" s="112" t="s">
        <v>466</v>
      </c>
      <c r="B24" s="112" t="s">
        <v>1296</v>
      </c>
      <c r="C24" s="112">
        <v>2</v>
      </c>
      <c r="D24" s="114">
        <v>0.002296685208411182</v>
      </c>
      <c r="E24" s="114">
        <v>2.710681383998757</v>
      </c>
      <c r="F24" s="112" t="s">
        <v>584</v>
      </c>
      <c r="G24" s="112" t="b">
        <v>0</v>
      </c>
      <c r="H24" s="112" t="b">
        <v>0</v>
      </c>
      <c r="I24" s="112" t="b">
        <v>0</v>
      </c>
      <c r="J24" s="112" t="b">
        <v>0</v>
      </c>
      <c r="K24" s="112" t="b">
        <v>0</v>
      </c>
      <c r="L24" s="112" t="b">
        <v>0</v>
      </c>
    </row>
    <row r="25" spans="1:12" ht="15">
      <c r="A25" s="112" t="s">
        <v>1296</v>
      </c>
      <c r="B25" s="112" t="s">
        <v>523</v>
      </c>
      <c r="C25" s="112">
        <v>2</v>
      </c>
      <c r="D25" s="114">
        <v>0.002296685208411182</v>
      </c>
      <c r="E25" s="114">
        <v>2.585742647390457</v>
      </c>
      <c r="F25" s="112" t="s">
        <v>584</v>
      </c>
      <c r="G25" s="112" t="b">
        <v>0</v>
      </c>
      <c r="H25" s="112" t="b">
        <v>0</v>
      </c>
      <c r="I25" s="112" t="b">
        <v>0</v>
      </c>
      <c r="J25" s="112" t="b">
        <v>0</v>
      </c>
      <c r="K25" s="112" t="b">
        <v>1</v>
      </c>
      <c r="L25" s="112" t="b">
        <v>0</v>
      </c>
    </row>
    <row r="26" spans="1:12" ht="15">
      <c r="A26" s="112" t="s">
        <v>523</v>
      </c>
      <c r="B26" s="112" t="s">
        <v>494</v>
      </c>
      <c r="C26" s="112">
        <v>2</v>
      </c>
      <c r="D26" s="114">
        <v>0.002296685208411182</v>
      </c>
      <c r="E26" s="114">
        <v>2.4096513883347757</v>
      </c>
      <c r="F26" s="112" t="s">
        <v>584</v>
      </c>
      <c r="G26" s="112" t="b">
        <v>0</v>
      </c>
      <c r="H26" s="112" t="b">
        <v>1</v>
      </c>
      <c r="I26" s="112" t="b">
        <v>0</v>
      </c>
      <c r="J26" s="112" t="b">
        <v>0</v>
      </c>
      <c r="K26" s="112" t="b">
        <v>1</v>
      </c>
      <c r="L26" s="112" t="b">
        <v>0</v>
      </c>
    </row>
    <row r="27" spans="1:12" ht="15">
      <c r="A27" s="112" t="s">
        <v>1297</v>
      </c>
      <c r="B27" s="112" t="s">
        <v>1298</v>
      </c>
      <c r="C27" s="112">
        <v>2</v>
      </c>
      <c r="D27" s="114">
        <v>0.002296685208411182</v>
      </c>
      <c r="E27" s="114">
        <v>2.8867726430544383</v>
      </c>
      <c r="F27" s="112" t="s">
        <v>584</v>
      </c>
      <c r="G27" s="112" t="b">
        <v>0</v>
      </c>
      <c r="H27" s="112" t="b">
        <v>0</v>
      </c>
      <c r="I27" s="112" t="b">
        <v>0</v>
      </c>
      <c r="J27" s="112" t="b">
        <v>0</v>
      </c>
      <c r="K27" s="112" t="b">
        <v>0</v>
      </c>
      <c r="L27" s="112" t="b">
        <v>0</v>
      </c>
    </row>
    <row r="28" spans="1:12" ht="15">
      <c r="A28" s="112" t="s">
        <v>383</v>
      </c>
      <c r="B28" s="112" t="s">
        <v>1302</v>
      </c>
      <c r="C28" s="112">
        <v>2</v>
      </c>
      <c r="D28" s="114">
        <v>0.0026438939692692916</v>
      </c>
      <c r="E28" s="114">
        <v>2.4888326343824003</v>
      </c>
      <c r="F28" s="112" t="s">
        <v>584</v>
      </c>
      <c r="G28" s="112" t="b">
        <v>0</v>
      </c>
      <c r="H28" s="112" t="b">
        <v>0</v>
      </c>
      <c r="I28" s="112" t="b">
        <v>0</v>
      </c>
      <c r="J28" s="112" t="b">
        <v>0</v>
      </c>
      <c r="K28" s="112" t="b">
        <v>0</v>
      </c>
      <c r="L28" s="112" t="b">
        <v>0</v>
      </c>
    </row>
    <row r="29" spans="1:12" ht="15">
      <c r="A29" s="112" t="s">
        <v>535</v>
      </c>
      <c r="B29" s="112" t="s">
        <v>1304</v>
      </c>
      <c r="C29" s="112">
        <v>2</v>
      </c>
      <c r="D29" s="114">
        <v>0.002296685208411182</v>
      </c>
      <c r="E29" s="114">
        <v>2.4888326343824003</v>
      </c>
      <c r="F29" s="112" t="s">
        <v>584</v>
      </c>
      <c r="G29" s="112" t="b">
        <v>0</v>
      </c>
      <c r="H29" s="112" t="b">
        <v>0</v>
      </c>
      <c r="I29" s="112" t="b">
        <v>0</v>
      </c>
      <c r="J29" s="112" t="b">
        <v>0</v>
      </c>
      <c r="K29" s="112" t="b">
        <v>0</v>
      </c>
      <c r="L29" s="112" t="b">
        <v>0</v>
      </c>
    </row>
    <row r="30" spans="1:12" ht="15">
      <c r="A30" s="112" t="s">
        <v>499</v>
      </c>
      <c r="B30" s="112" t="s">
        <v>572</v>
      </c>
      <c r="C30" s="112">
        <v>2</v>
      </c>
      <c r="D30" s="114">
        <v>0.002296685208411182</v>
      </c>
      <c r="E30" s="114">
        <v>1.8977680273559012</v>
      </c>
      <c r="F30" s="112" t="s">
        <v>584</v>
      </c>
      <c r="G30" s="112" t="b">
        <v>0</v>
      </c>
      <c r="H30" s="112" t="b">
        <v>0</v>
      </c>
      <c r="I30" s="112" t="b">
        <v>0</v>
      </c>
      <c r="J30" s="112" t="b">
        <v>0</v>
      </c>
      <c r="K30" s="112" t="b">
        <v>0</v>
      </c>
      <c r="L30" s="112" t="b">
        <v>0</v>
      </c>
    </row>
    <row r="31" spans="1:12" ht="15">
      <c r="A31" s="112" t="s">
        <v>505</v>
      </c>
      <c r="B31" s="112" t="s">
        <v>1306</v>
      </c>
      <c r="C31" s="112">
        <v>2</v>
      </c>
      <c r="D31" s="114">
        <v>0.002296685208411182</v>
      </c>
      <c r="E31" s="114">
        <v>2.8867726430544383</v>
      </c>
      <c r="F31" s="112" t="s">
        <v>584</v>
      </c>
      <c r="G31" s="112" t="b">
        <v>0</v>
      </c>
      <c r="H31" s="112" t="b">
        <v>0</v>
      </c>
      <c r="I31" s="112" t="b">
        <v>0</v>
      </c>
      <c r="J31" s="112" t="b">
        <v>0</v>
      </c>
      <c r="K31" s="112" t="b">
        <v>0</v>
      </c>
      <c r="L31" s="112" t="b">
        <v>0</v>
      </c>
    </row>
    <row r="32" spans="1:12" ht="15">
      <c r="A32" s="112" t="s">
        <v>1259</v>
      </c>
      <c r="B32" s="112" t="s">
        <v>403</v>
      </c>
      <c r="C32" s="112">
        <v>2</v>
      </c>
      <c r="D32" s="114">
        <v>0.002296685208411182</v>
      </c>
      <c r="E32" s="114">
        <v>2.1086213926707944</v>
      </c>
      <c r="F32" s="112" t="s">
        <v>584</v>
      </c>
      <c r="G32" s="112" t="b">
        <v>0</v>
      </c>
      <c r="H32" s="112" t="b">
        <v>0</v>
      </c>
      <c r="I32" s="112" t="b">
        <v>0</v>
      </c>
      <c r="J32" s="112" t="b">
        <v>0</v>
      </c>
      <c r="K32" s="112" t="b">
        <v>0</v>
      </c>
      <c r="L32" s="112" t="b">
        <v>0</v>
      </c>
    </row>
    <row r="33" spans="1:12" ht="15">
      <c r="A33" s="112" t="s">
        <v>445</v>
      </c>
      <c r="B33" s="112" t="s">
        <v>373</v>
      </c>
      <c r="C33" s="112">
        <v>2</v>
      </c>
      <c r="D33" s="114">
        <v>0.002296685208411182</v>
      </c>
      <c r="E33" s="114">
        <v>1.4096513883347757</v>
      </c>
      <c r="F33" s="112" t="s">
        <v>584</v>
      </c>
      <c r="G33" s="112" t="b">
        <v>0</v>
      </c>
      <c r="H33" s="112" t="b">
        <v>0</v>
      </c>
      <c r="I33" s="112" t="b">
        <v>0</v>
      </c>
      <c r="J33" s="112" t="b">
        <v>0</v>
      </c>
      <c r="K33" s="112" t="b">
        <v>0</v>
      </c>
      <c r="L33" s="112" t="b">
        <v>0</v>
      </c>
    </row>
    <row r="34" spans="1:12" ht="15">
      <c r="A34" s="112" t="s">
        <v>1316</v>
      </c>
      <c r="B34" s="112" t="s">
        <v>1317</v>
      </c>
      <c r="C34" s="112">
        <v>2</v>
      </c>
      <c r="D34" s="114">
        <v>0.002296685208411182</v>
      </c>
      <c r="E34" s="114">
        <v>2.8867726430544383</v>
      </c>
      <c r="F34" s="112" t="s">
        <v>584</v>
      </c>
      <c r="G34" s="112" t="b">
        <v>0</v>
      </c>
      <c r="H34" s="112" t="b">
        <v>0</v>
      </c>
      <c r="I34" s="112" t="b">
        <v>0</v>
      </c>
      <c r="J34" s="112" t="b">
        <v>0</v>
      </c>
      <c r="K34" s="112" t="b">
        <v>1</v>
      </c>
      <c r="L34" s="112" t="b">
        <v>0</v>
      </c>
    </row>
    <row r="35" spans="1:12" ht="15">
      <c r="A35" s="112" t="s">
        <v>374</v>
      </c>
      <c r="B35" s="112" t="s">
        <v>403</v>
      </c>
      <c r="C35" s="112">
        <v>2</v>
      </c>
      <c r="D35" s="114">
        <v>0.002296685208411182</v>
      </c>
      <c r="E35" s="114">
        <v>1.4396146117122188</v>
      </c>
      <c r="F35" s="112" t="s">
        <v>584</v>
      </c>
      <c r="G35" s="112" t="b">
        <v>0</v>
      </c>
      <c r="H35" s="112" t="b">
        <v>0</v>
      </c>
      <c r="I35" s="112" t="b">
        <v>0</v>
      </c>
      <c r="J35" s="112" t="b">
        <v>0</v>
      </c>
      <c r="K35" s="112" t="b">
        <v>0</v>
      </c>
      <c r="L35" s="112" t="b">
        <v>0</v>
      </c>
    </row>
    <row r="36" spans="1:12" ht="15">
      <c r="A36" s="112" t="s">
        <v>403</v>
      </c>
      <c r="B36" s="112" t="s">
        <v>507</v>
      </c>
      <c r="C36" s="112">
        <v>2</v>
      </c>
      <c r="D36" s="114">
        <v>0.002296685208411182</v>
      </c>
      <c r="E36" s="114">
        <v>1.9836826560624945</v>
      </c>
      <c r="F36" s="112" t="s">
        <v>584</v>
      </c>
      <c r="G36" s="112" t="b">
        <v>0</v>
      </c>
      <c r="H36" s="112" t="b">
        <v>0</v>
      </c>
      <c r="I36" s="112" t="b">
        <v>0</v>
      </c>
      <c r="J36" s="112" t="b">
        <v>0</v>
      </c>
      <c r="K36" s="112" t="b">
        <v>0</v>
      </c>
      <c r="L36" s="112" t="b">
        <v>0</v>
      </c>
    </row>
    <row r="37" spans="1:12" ht="15">
      <c r="A37" s="112" t="s">
        <v>1318</v>
      </c>
      <c r="B37" s="112" t="s">
        <v>1319</v>
      </c>
      <c r="C37" s="112">
        <v>2</v>
      </c>
      <c r="D37" s="114">
        <v>0.002296685208411182</v>
      </c>
      <c r="E37" s="114">
        <v>2.8867726430544383</v>
      </c>
      <c r="F37" s="112" t="s">
        <v>584</v>
      </c>
      <c r="G37" s="112" t="b">
        <v>0</v>
      </c>
      <c r="H37" s="112" t="b">
        <v>0</v>
      </c>
      <c r="I37" s="112" t="b">
        <v>0</v>
      </c>
      <c r="J37" s="112" t="b">
        <v>0</v>
      </c>
      <c r="K37" s="112" t="b">
        <v>0</v>
      </c>
      <c r="L37" s="112" t="b">
        <v>0</v>
      </c>
    </row>
    <row r="38" spans="1:12" ht="15">
      <c r="A38" s="112" t="s">
        <v>380</v>
      </c>
      <c r="B38" s="112" t="s">
        <v>502</v>
      </c>
      <c r="C38" s="112">
        <v>2</v>
      </c>
      <c r="D38" s="114">
        <v>0.002296685208411182</v>
      </c>
      <c r="E38" s="114">
        <v>2.1086213926707944</v>
      </c>
      <c r="F38" s="112" t="s">
        <v>584</v>
      </c>
      <c r="G38" s="112" t="b">
        <v>0</v>
      </c>
      <c r="H38" s="112" t="b">
        <v>0</v>
      </c>
      <c r="I38" s="112" t="b">
        <v>0</v>
      </c>
      <c r="J38" s="112" t="b">
        <v>0</v>
      </c>
      <c r="K38" s="112" t="b">
        <v>0</v>
      </c>
      <c r="L38" s="112" t="b">
        <v>0</v>
      </c>
    </row>
    <row r="39" spans="1:12" ht="15">
      <c r="A39" s="112" t="s">
        <v>518</v>
      </c>
      <c r="B39" s="112" t="s">
        <v>379</v>
      </c>
      <c r="C39" s="112">
        <v>2</v>
      </c>
      <c r="D39" s="114">
        <v>0.0026438939692692916</v>
      </c>
      <c r="E39" s="114">
        <v>2.1878026387184195</v>
      </c>
      <c r="F39" s="112" t="s">
        <v>584</v>
      </c>
      <c r="G39" s="112" t="b">
        <v>0</v>
      </c>
      <c r="H39" s="112" t="b">
        <v>0</v>
      </c>
      <c r="I39" s="112" t="b">
        <v>0</v>
      </c>
      <c r="J39" s="112" t="b">
        <v>0</v>
      </c>
      <c r="K39" s="112" t="b">
        <v>0</v>
      </c>
      <c r="L39" s="112" t="b">
        <v>0</v>
      </c>
    </row>
    <row r="40" spans="1:12" ht="15">
      <c r="A40" s="112" t="s">
        <v>1332</v>
      </c>
      <c r="B40" s="112" t="s">
        <v>1333</v>
      </c>
      <c r="C40" s="112">
        <v>2</v>
      </c>
      <c r="D40" s="114">
        <v>0.002296685208411182</v>
      </c>
      <c r="E40" s="114">
        <v>2.8867726430544383</v>
      </c>
      <c r="F40" s="112" t="s">
        <v>584</v>
      </c>
      <c r="G40" s="112" t="b">
        <v>0</v>
      </c>
      <c r="H40" s="112" t="b">
        <v>0</v>
      </c>
      <c r="I40" s="112" t="b">
        <v>0</v>
      </c>
      <c r="J40" s="112" t="b">
        <v>0</v>
      </c>
      <c r="K40" s="112" t="b">
        <v>0</v>
      </c>
      <c r="L40" s="112" t="b">
        <v>0</v>
      </c>
    </row>
    <row r="41" spans="1:12" ht="15">
      <c r="A41" s="112" t="s">
        <v>1336</v>
      </c>
      <c r="B41" s="112" t="s">
        <v>509</v>
      </c>
      <c r="C41" s="112">
        <v>2</v>
      </c>
      <c r="D41" s="114">
        <v>0.002296685208411182</v>
      </c>
      <c r="E41" s="114">
        <v>2.8867726430544383</v>
      </c>
      <c r="F41" s="112" t="s">
        <v>584</v>
      </c>
      <c r="G41" s="112" t="b">
        <v>0</v>
      </c>
      <c r="H41" s="112" t="b">
        <v>0</v>
      </c>
      <c r="I41" s="112" t="b">
        <v>0</v>
      </c>
      <c r="J41" s="112" t="b">
        <v>0</v>
      </c>
      <c r="K41" s="112" t="b">
        <v>0</v>
      </c>
      <c r="L41" s="112" t="b">
        <v>0</v>
      </c>
    </row>
    <row r="42" spans="1:12" ht="15">
      <c r="A42" s="112" t="s">
        <v>1340</v>
      </c>
      <c r="B42" s="112" t="s">
        <v>1341</v>
      </c>
      <c r="C42" s="112">
        <v>2</v>
      </c>
      <c r="D42" s="114">
        <v>0.002296685208411182</v>
      </c>
      <c r="E42" s="114">
        <v>2.8867726430544383</v>
      </c>
      <c r="F42" s="112" t="s">
        <v>584</v>
      </c>
      <c r="G42" s="112" t="b">
        <v>0</v>
      </c>
      <c r="H42" s="112" t="b">
        <v>1</v>
      </c>
      <c r="I42" s="112" t="b">
        <v>0</v>
      </c>
      <c r="J42" s="112" t="b">
        <v>0</v>
      </c>
      <c r="K42" s="112" t="b">
        <v>0</v>
      </c>
      <c r="L42" s="112" t="b">
        <v>0</v>
      </c>
    </row>
    <row r="43" spans="1:12" ht="15">
      <c r="A43" s="112" t="s">
        <v>374</v>
      </c>
      <c r="B43" s="112" t="s">
        <v>471</v>
      </c>
      <c r="C43" s="112">
        <v>2</v>
      </c>
      <c r="D43" s="114">
        <v>0.002296685208411182</v>
      </c>
      <c r="E43" s="114">
        <v>1.3427045987041624</v>
      </c>
      <c r="F43" s="112" t="s">
        <v>584</v>
      </c>
      <c r="G43" s="112" t="b">
        <v>0</v>
      </c>
      <c r="H43" s="112" t="b">
        <v>0</v>
      </c>
      <c r="I43" s="112" t="b">
        <v>0</v>
      </c>
      <c r="J43" s="112" t="b">
        <v>0</v>
      </c>
      <c r="K43" s="112" t="b">
        <v>0</v>
      </c>
      <c r="L43" s="112" t="b">
        <v>0</v>
      </c>
    </row>
    <row r="44" spans="1:12" ht="15">
      <c r="A44" s="112" t="s">
        <v>430</v>
      </c>
      <c r="B44" s="112" t="s">
        <v>1344</v>
      </c>
      <c r="C44" s="112">
        <v>2</v>
      </c>
      <c r="D44" s="114">
        <v>0.002296685208411182</v>
      </c>
      <c r="E44" s="114">
        <v>2.8867726430544383</v>
      </c>
      <c r="F44" s="112" t="s">
        <v>584</v>
      </c>
      <c r="G44" s="112" t="b">
        <v>0</v>
      </c>
      <c r="H44" s="112" t="b">
        <v>0</v>
      </c>
      <c r="I44" s="112" t="b">
        <v>0</v>
      </c>
      <c r="J44" s="112" t="b">
        <v>0</v>
      </c>
      <c r="K44" s="112" t="b">
        <v>0</v>
      </c>
      <c r="L44" s="112" t="b">
        <v>0</v>
      </c>
    </row>
    <row r="45" spans="1:12" ht="15">
      <c r="A45" s="112" t="s">
        <v>379</v>
      </c>
      <c r="B45" s="112" t="s">
        <v>380</v>
      </c>
      <c r="C45" s="112">
        <v>3</v>
      </c>
      <c r="D45" s="114">
        <v>0.011185271196784837</v>
      </c>
      <c r="E45" s="114">
        <v>1.7881683711411678</v>
      </c>
      <c r="F45" s="112" t="s">
        <v>343</v>
      </c>
      <c r="G45" s="112" t="b">
        <v>0</v>
      </c>
      <c r="H45" s="112" t="b">
        <v>0</v>
      </c>
      <c r="I45" s="112" t="b">
        <v>0</v>
      </c>
      <c r="J45" s="112" t="b">
        <v>0</v>
      </c>
      <c r="K45" s="112" t="b">
        <v>0</v>
      </c>
      <c r="L45" s="112" t="b">
        <v>0</v>
      </c>
    </row>
    <row r="46" spans="1:12" ht="15">
      <c r="A46" s="112" t="s">
        <v>573</v>
      </c>
      <c r="B46" s="112" t="s">
        <v>416</v>
      </c>
      <c r="C46" s="112">
        <v>2</v>
      </c>
      <c r="D46" s="114">
        <v>0.007456847464523225</v>
      </c>
      <c r="E46" s="114">
        <v>1.1447156946549804</v>
      </c>
      <c r="F46" s="112" t="s">
        <v>343</v>
      </c>
      <c r="G46" s="112" t="b">
        <v>0</v>
      </c>
      <c r="H46" s="112" t="b">
        <v>0</v>
      </c>
      <c r="I46" s="112" t="b">
        <v>0</v>
      </c>
      <c r="J46" s="112" t="b">
        <v>0</v>
      </c>
      <c r="K46" s="112" t="b">
        <v>0</v>
      </c>
      <c r="L46" s="112" t="b">
        <v>0</v>
      </c>
    </row>
    <row r="47" spans="1:12" ht="15">
      <c r="A47" s="112" t="s">
        <v>573</v>
      </c>
      <c r="B47" s="112" t="s">
        <v>534</v>
      </c>
      <c r="C47" s="112">
        <v>2</v>
      </c>
      <c r="D47" s="114">
        <v>0.00919690524292774</v>
      </c>
      <c r="E47" s="114">
        <v>1.885078384149224</v>
      </c>
      <c r="F47" s="112" t="s">
        <v>343</v>
      </c>
      <c r="G47" s="112" t="b">
        <v>0</v>
      </c>
      <c r="H47" s="112" t="b">
        <v>0</v>
      </c>
      <c r="I47" s="112" t="b">
        <v>0</v>
      </c>
      <c r="J47" s="112" t="b">
        <v>0</v>
      </c>
      <c r="K47" s="112" t="b">
        <v>0</v>
      </c>
      <c r="L47" s="112" t="b">
        <v>0</v>
      </c>
    </row>
    <row r="48" spans="1:12" ht="15">
      <c r="A48" s="112" t="s">
        <v>518</v>
      </c>
      <c r="B48" s="112" t="s">
        <v>379</v>
      </c>
      <c r="C48" s="112">
        <v>2</v>
      </c>
      <c r="D48" s="114">
        <v>0.00919690524292774</v>
      </c>
      <c r="E48" s="114">
        <v>2.010017120757524</v>
      </c>
      <c r="F48" s="112" t="s">
        <v>343</v>
      </c>
      <c r="G48" s="112" t="b">
        <v>0</v>
      </c>
      <c r="H48" s="112" t="b">
        <v>0</v>
      </c>
      <c r="I48" s="112" t="b">
        <v>0</v>
      </c>
      <c r="J48" s="112" t="b">
        <v>0</v>
      </c>
      <c r="K48" s="112" t="b">
        <v>0</v>
      </c>
      <c r="L48" s="112" t="b">
        <v>0</v>
      </c>
    </row>
    <row r="49" spans="1:12" ht="15">
      <c r="A49" s="112" t="s">
        <v>379</v>
      </c>
      <c r="B49" s="112" t="s">
        <v>380</v>
      </c>
      <c r="C49" s="112">
        <v>3</v>
      </c>
      <c r="D49" s="114">
        <v>0.010172734044481402</v>
      </c>
      <c r="E49" s="114">
        <v>1.8893017025063104</v>
      </c>
      <c r="F49" s="112" t="s">
        <v>344</v>
      </c>
      <c r="G49" s="112" t="b">
        <v>0</v>
      </c>
      <c r="H49" s="112" t="b">
        <v>0</v>
      </c>
      <c r="I49" s="112" t="b">
        <v>0</v>
      </c>
      <c r="J49" s="112" t="b">
        <v>0</v>
      </c>
      <c r="K49" s="112" t="b">
        <v>0</v>
      </c>
      <c r="L49" s="112" t="b">
        <v>0</v>
      </c>
    </row>
    <row r="50" spans="1:12" ht="15">
      <c r="A50" s="112" t="s">
        <v>1270</v>
      </c>
      <c r="B50" s="112" t="s">
        <v>554</v>
      </c>
      <c r="C50" s="112">
        <v>3</v>
      </c>
      <c r="D50" s="114">
        <v>0.010172734044481402</v>
      </c>
      <c r="E50" s="114">
        <v>2.01424043911461</v>
      </c>
      <c r="F50" s="112" t="s">
        <v>344</v>
      </c>
      <c r="G50" s="112" t="b">
        <v>0</v>
      </c>
      <c r="H50" s="112" t="b">
        <v>0</v>
      </c>
      <c r="I50" s="112" t="b">
        <v>0</v>
      </c>
      <c r="J50" s="112" t="b">
        <v>0</v>
      </c>
      <c r="K50" s="112" t="b">
        <v>0</v>
      </c>
      <c r="L50" s="112" t="b">
        <v>0</v>
      </c>
    </row>
    <row r="51" spans="1:12" ht="15">
      <c r="A51" s="112" t="s">
        <v>495</v>
      </c>
      <c r="B51" s="112" t="s">
        <v>1289</v>
      </c>
      <c r="C51" s="112">
        <v>2</v>
      </c>
      <c r="D51" s="114">
        <v>0.008563065274214314</v>
      </c>
      <c r="E51" s="114">
        <v>2.01424043911461</v>
      </c>
      <c r="F51" s="112" t="s">
        <v>344</v>
      </c>
      <c r="G51" s="112" t="b">
        <v>0</v>
      </c>
      <c r="H51" s="112" t="b">
        <v>0</v>
      </c>
      <c r="I51" s="112" t="b">
        <v>0</v>
      </c>
      <c r="J51" s="112" t="b">
        <v>0</v>
      </c>
      <c r="K51" s="112" t="b">
        <v>0</v>
      </c>
      <c r="L51" s="112" t="b">
        <v>0</v>
      </c>
    </row>
    <row r="52" spans="1:12" ht="15">
      <c r="A52" s="112" t="s">
        <v>1291</v>
      </c>
      <c r="B52" s="112" t="s">
        <v>533</v>
      </c>
      <c r="C52" s="112">
        <v>2</v>
      </c>
      <c r="D52" s="114">
        <v>0.008563065274214314</v>
      </c>
      <c r="E52" s="114">
        <v>2.1903316981702914</v>
      </c>
      <c r="F52" s="112" t="s">
        <v>344</v>
      </c>
      <c r="G52" s="112" t="b">
        <v>0</v>
      </c>
      <c r="H52" s="112" t="b">
        <v>0</v>
      </c>
      <c r="I52" s="112" t="b">
        <v>0</v>
      </c>
      <c r="J52" s="112" t="b">
        <v>0</v>
      </c>
      <c r="K52" s="112" t="b">
        <v>0</v>
      </c>
      <c r="L52" s="112" t="b">
        <v>0</v>
      </c>
    </row>
    <row r="53" spans="1:12" ht="15">
      <c r="A53" s="112" t="s">
        <v>383</v>
      </c>
      <c r="B53" s="112" t="s">
        <v>1302</v>
      </c>
      <c r="C53" s="112">
        <v>2</v>
      </c>
      <c r="D53" s="114">
        <v>0.008563065274214314</v>
      </c>
      <c r="E53" s="114">
        <v>1.792391689498254</v>
      </c>
      <c r="F53" s="112" t="s">
        <v>344</v>
      </c>
      <c r="G53" s="112" t="b">
        <v>0</v>
      </c>
      <c r="H53" s="112" t="b">
        <v>0</v>
      </c>
      <c r="I53" s="112" t="b">
        <v>0</v>
      </c>
      <c r="J53" s="112" t="b">
        <v>0</v>
      </c>
      <c r="K53" s="112" t="b">
        <v>0</v>
      </c>
      <c r="L53" s="112" t="b">
        <v>0</v>
      </c>
    </row>
    <row r="54" spans="1:12" ht="15">
      <c r="A54" s="112" t="s">
        <v>535</v>
      </c>
      <c r="B54" s="112" t="s">
        <v>1304</v>
      </c>
      <c r="C54" s="112">
        <v>2</v>
      </c>
      <c r="D54" s="114">
        <v>0.006781822696320935</v>
      </c>
      <c r="E54" s="114">
        <v>2.1903316981702914</v>
      </c>
      <c r="F54" s="112" t="s">
        <v>344</v>
      </c>
      <c r="G54" s="112" t="b">
        <v>0</v>
      </c>
      <c r="H54" s="112" t="b">
        <v>0</v>
      </c>
      <c r="I54" s="112" t="b">
        <v>0</v>
      </c>
      <c r="J54" s="112" t="b">
        <v>0</v>
      </c>
      <c r="K54" s="112" t="b">
        <v>0</v>
      </c>
      <c r="L54" s="112" t="b">
        <v>0</v>
      </c>
    </row>
    <row r="55" spans="1:12" ht="15">
      <c r="A55" s="112" t="s">
        <v>1316</v>
      </c>
      <c r="B55" s="112" t="s">
        <v>1317</v>
      </c>
      <c r="C55" s="112">
        <v>2</v>
      </c>
      <c r="D55" s="114">
        <v>0.006781822696320935</v>
      </c>
      <c r="E55" s="114">
        <v>2.1903316981702914</v>
      </c>
      <c r="F55" s="112" t="s">
        <v>344</v>
      </c>
      <c r="G55" s="112" t="b">
        <v>0</v>
      </c>
      <c r="H55" s="112" t="b">
        <v>0</v>
      </c>
      <c r="I55" s="112" t="b">
        <v>0</v>
      </c>
      <c r="J55" s="112" t="b">
        <v>0</v>
      </c>
      <c r="K55" s="112" t="b">
        <v>1</v>
      </c>
      <c r="L55" s="112" t="b">
        <v>0</v>
      </c>
    </row>
    <row r="56" spans="1:12" ht="15">
      <c r="A56" s="112" t="s">
        <v>1332</v>
      </c>
      <c r="B56" s="112" t="s">
        <v>1333</v>
      </c>
      <c r="C56" s="112">
        <v>2</v>
      </c>
      <c r="D56" s="114">
        <v>0.008530820894301933</v>
      </c>
      <c r="E56" s="114">
        <v>2.0773679052841567</v>
      </c>
      <c r="F56" s="112" t="s">
        <v>345</v>
      </c>
      <c r="G56" s="112" t="b">
        <v>0</v>
      </c>
      <c r="H56" s="112" t="b">
        <v>0</v>
      </c>
      <c r="I56" s="112" t="b">
        <v>0</v>
      </c>
      <c r="J56" s="112" t="b">
        <v>0</v>
      </c>
      <c r="K56" s="112" t="b">
        <v>0</v>
      </c>
      <c r="L56" s="112" t="b">
        <v>0</v>
      </c>
    </row>
    <row r="57" spans="1:12" ht="15">
      <c r="A57" s="112" t="s">
        <v>373</v>
      </c>
      <c r="B57" s="112" t="s">
        <v>422</v>
      </c>
      <c r="C57" s="112">
        <v>2</v>
      </c>
      <c r="D57" s="114">
        <v>0.008530820894301933</v>
      </c>
      <c r="E57" s="114">
        <v>1.3370052157899126</v>
      </c>
      <c r="F57" s="112" t="s">
        <v>345</v>
      </c>
      <c r="G57" s="112" t="b">
        <v>0</v>
      </c>
      <c r="H57" s="112" t="b">
        <v>0</v>
      </c>
      <c r="I57" s="112" t="b">
        <v>0</v>
      </c>
      <c r="J57" s="112" t="b">
        <v>0</v>
      </c>
      <c r="K57" s="112" t="b">
        <v>1</v>
      </c>
      <c r="L57" s="112" t="b">
        <v>0</v>
      </c>
    </row>
    <row r="58" spans="1:12" ht="15">
      <c r="A58" s="112" t="s">
        <v>1254</v>
      </c>
      <c r="B58" s="112" t="s">
        <v>1260</v>
      </c>
      <c r="C58" s="112">
        <v>4</v>
      </c>
      <c r="D58" s="114">
        <v>0.011590215409161591</v>
      </c>
      <c r="E58" s="114">
        <v>1.8325089127062364</v>
      </c>
      <c r="F58" s="112" t="s">
        <v>346</v>
      </c>
      <c r="G58" s="112" t="b">
        <v>0</v>
      </c>
      <c r="H58" s="112" t="b">
        <v>0</v>
      </c>
      <c r="I58" s="112" t="b">
        <v>0</v>
      </c>
      <c r="J58" s="112" t="b">
        <v>0</v>
      </c>
      <c r="K58" s="112" t="b">
        <v>0</v>
      </c>
      <c r="L58" s="112" t="b">
        <v>0</v>
      </c>
    </row>
    <row r="59" spans="1:12" ht="15">
      <c r="A59" s="112" t="s">
        <v>493</v>
      </c>
      <c r="B59" s="112" t="s">
        <v>471</v>
      </c>
      <c r="C59" s="112">
        <v>3</v>
      </c>
      <c r="D59" s="114">
        <v>0.011683025752208755</v>
      </c>
      <c r="E59" s="114">
        <v>1.9574476493145363</v>
      </c>
      <c r="F59" s="112" t="s">
        <v>346</v>
      </c>
      <c r="G59" s="112" t="b">
        <v>0</v>
      </c>
      <c r="H59" s="112" t="b">
        <v>0</v>
      </c>
      <c r="I59" s="112" t="b">
        <v>0</v>
      </c>
      <c r="J59" s="112" t="b">
        <v>0</v>
      </c>
      <c r="K59" s="112" t="b">
        <v>0</v>
      </c>
      <c r="L59" s="112" t="b">
        <v>0</v>
      </c>
    </row>
    <row r="60" spans="1:12" ht="15">
      <c r="A60" s="112" t="s">
        <v>1286</v>
      </c>
      <c r="B60" s="112" t="s">
        <v>1287</v>
      </c>
      <c r="C60" s="112">
        <v>2</v>
      </c>
      <c r="D60" s="114">
        <v>0.007788683834805837</v>
      </c>
      <c r="E60" s="114">
        <v>2.1335389083702174</v>
      </c>
      <c r="F60" s="112" t="s">
        <v>346</v>
      </c>
      <c r="G60" s="112" t="b">
        <v>0</v>
      </c>
      <c r="H60" s="112" t="b">
        <v>0</v>
      </c>
      <c r="I60" s="112" t="b">
        <v>0</v>
      </c>
      <c r="J60" s="112" t="b">
        <v>0</v>
      </c>
      <c r="K60" s="112" t="b">
        <v>0</v>
      </c>
      <c r="L60" s="112" t="b">
        <v>0</v>
      </c>
    </row>
    <row r="61" spans="1:12" ht="15">
      <c r="A61" s="112" t="s">
        <v>1250</v>
      </c>
      <c r="B61" s="112" t="s">
        <v>1251</v>
      </c>
      <c r="C61" s="112">
        <v>2</v>
      </c>
      <c r="D61" s="114">
        <v>0.007788683834805837</v>
      </c>
      <c r="E61" s="114">
        <v>2.1335389083702174</v>
      </c>
      <c r="F61" s="112" t="s">
        <v>346</v>
      </c>
      <c r="G61" s="112" t="b">
        <v>0</v>
      </c>
      <c r="H61" s="112" t="b">
        <v>0</v>
      </c>
      <c r="I61" s="112" t="b">
        <v>0</v>
      </c>
      <c r="J61" s="112" t="b">
        <v>0</v>
      </c>
      <c r="K61" s="112" t="b">
        <v>0</v>
      </c>
      <c r="L61" s="112" t="b">
        <v>0</v>
      </c>
    </row>
    <row r="62" spans="1:12" ht="15">
      <c r="A62" s="112" t="s">
        <v>1250</v>
      </c>
      <c r="B62" s="112" t="s">
        <v>1251</v>
      </c>
      <c r="C62" s="112">
        <v>3</v>
      </c>
      <c r="D62" s="114">
        <v>0.02345688277901152</v>
      </c>
      <c r="E62" s="114">
        <v>1.3424226808222062</v>
      </c>
      <c r="F62" s="112" t="s">
        <v>347</v>
      </c>
      <c r="G62" s="112" t="b">
        <v>0</v>
      </c>
      <c r="H62" s="112" t="b">
        <v>0</v>
      </c>
      <c r="I62" s="112" t="b">
        <v>0</v>
      </c>
      <c r="J62" s="112" t="b">
        <v>0</v>
      </c>
      <c r="K62" s="112" t="b">
        <v>0</v>
      </c>
      <c r="L62" s="112" t="b">
        <v>0</v>
      </c>
    </row>
    <row r="63" spans="1:12" ht="15">
      <c r="A63" s="112" t="s">
        <v>1340</v>
      </c>
      <c r="B63" s="112" t="s">
        <v>1341</v>
      </c>
      <c r="C63" s="112">
        <v>2</v>
      </c>
      <c r="D63" s="114">
        <v>0.02021172078918555</v>
      </c>
      <c r="E63" s="114">
        <v>1.5185139398778875</v>
      </c>
      <c r="F63" s="112" t="s">
        <v>347</v>
      </c>
      <c r="G63" s="112" t="b">
        <v>0</v>
      </c>
      <c r="H63" s="112" t="b">
        <v>1</v>
      </c>
      <c r="I63" s="112" t="b">
        <v>0</v>
      </c>
      <c r="J63" s="112" t="b">
        <v>0</v>
      </c>
      <c r="K63" s="112" t="b">
        <v>0</v>
      </c>
      <c r="L63" s="112" t="b">
        <v>0</v>
      </c>
    </row>
    <row r="64" spans="1:12" ht="15">
      <c r="A64" s="112" t="s">
        <v>374</v>
      </c>
      <c r="B64" s="112" t="s">
        <v>471</v>
      </c>
      <c r="C64" s="112">
        <v>2</v>
      </c>
      <c r="D64" s="114">
        <v>0.02021172078918555</v>
      </c>
      <c r="E64" s="114">
        <v>1.166331421766525</v>
      </c>
      <c r="F64" s="112" t="s">
        <v>347</v>
      </c>
      <c r="G64" s="112" t="b">
        <v>0</v>
      </c>
      <c r="H64" s="112" t="b">
        <v>0</v>
      </c>
      <c r="I64" s="112" t="b">
        <v>0</v>
      </c>
      <c r="J64" s="112" t="b">
        <v>0</v>
      </c>
      <c r="K64" s="112" t="b">
        <v>0</v>
      </c>
      <c r="L64" s="112" t="b">
        <v>0</v>
      </c>
    </row>
    <row r="65" spans="1:12" ht="15">
      <c r="A65" s="112" t="s">
        <v>573</v>
      </c>
      <c r="B65" s="112" t="s">
        <v>534</v>
      </c>
      <c r="C65" s="112">
        <v>3</v>
      </c>
      <c r="D65" s="114">
        <v>0.015078291864599329</v>
      </c>
      <c r="E65" s="114">
        <v>1.6180480967120927</v>
      </c>
      <c r="F65" s="112" t="s">
        <v>348</v>
      </c>
      <c r="G65" s="112" t="b">
        <v>0</v>
      </c>
      <c r="H65" s="112" t="b">
        <v>0</v>
      </c>
      <c r="I65" s="112" t="b">
        <v>0</v>
      </c>
      <c r="J65" s="112" t="b">
        <v>0</v>
      </c>
      <c r="K65" s="112" t="b">
        <v>0</v>
      </c>
      <c r="L65" s="112" t="b">
        <v>0</v>
      </c>
    </row>
    <row r="66" spans="1:12" ht="15">
      <c r="A66" s="112" t="s">
        <v>379</v>
      </c>
      <c r="B66" s="112" t="s">
        <v>380</v>
      </c>
      <c r="C66" s="112">
        <v>3</v>
      </c>
      <c r="D66" s="114">
        <v>0.015078291864599329</v>
      </c>
      <c r="E66" s="114">
        <v>1.7429868333203926</v>
      </c>
      <c r="F66" s="112" t="s">
        <v>348</v>
      </c>
      <c r="G66" s="112" t="b">
        <v>0</v>
      </c>
      <c r="H66" s="112" t="b">
        <v>0</v>
      </c>
      <c r="I66" s="112" t="b">
        <v>0</v>
      </c>
      <c r="J66" s="112" t="b">
        <v>0</v>
      </c>
      <c r="K66" s="112" t="b">
        <v>0</v>
      </c>
      <c r="L66" s="112" t="b">
        <v>0</v>
      </c>
    </row>
    <row r="67" spans="1:12" ht="15">
      <c r="A67" s="112" t="s">
        <v>1258</v>
      </c>
      <c r="B67" s="112" t="s">
        <v>1259</v>
      </c>
      <c r="C67" s="112">
        <v>3</v>
      </c>
      <c r="D67" s="114">
        <v>0.015078291864599329</v>
      </c>
      <c r="E67" s="114">
        <v>1.7429868333203926</v>
      </c>
      <c r="F67" s="112" t="s">
        <v>348</v>
      </c>
      <c r="G67" s="112" t="b">
        <v>0</v>
      </c>
      <c r="H67" s="112" t="b">
        <v>0</v>
      </c>
      <c r="I67" s="112" t="b">
        <v>0</v>
      </c>
      <c r="J67" s="112" t="b">
        <v>0</v>
      </c>
      <c r="K67" s="112" t="b">
        <v>0</v>
      </c>
      <c r="L67" s="112" t="b">
        <v>0</v>
      </c>
    </row>
    <row r="68" spans="1:12" ht="15">
      <c r="A68" s="112" t="s">
        <v>505</v>
      </c>
      <c r="B68" s="112" t="s">
        <v>1306</v>
      </c>
      <c r="C68" s="112">
        <v>2</v>
      </c>
      <c r="D68" s="114">
        <v>0.011876974462986922</v>
      </c>
      <c r="E68" s="114">
        <v>1.919078092376074</v>
      </c>
      <c r="F68" s="112" t="s">
        <v>348</v>
      </c>
      <c r="G68" s="112" t="b">
        <v>0</v>
      </c>
      <c r="H68" s="112" t="b">
        <v>0</v>
      </c>
      <c r="I68" s="112" t="b">
        <v>0</v>
      </c>
      <c r="J68" s="112" t="b">
        <v>0</v>
      </c>
      <c r="K68" s="112" t="b">
        <v>0</v>
      </c>
      <c r="L68" s="112" t="b">
        <v>0</v>
      </c>
    </row>
    <row r="69" spans="1:12" ht="15">
      <c r="A69" s="112" t="s">
        <v>398</v>
      </c>
      <c r="B69" s="112" t="s">
        <v>457</v>
      </c>
      <c r="C69" s="112">
        <v>2</v>
      </c>
      <c r="D69" s="114">
        <v>0.011876974462986922</v>
      </c>
      <c r="E69" s="114">
        <v>1.919078092376074</v>
      </c>
      <c r="F69" s="112" t="s">
        <v>348</v>
      </c>
      <c r="G69" s="112" t="b">
        <v>0</v>
      </c>
      <c r="H69" s="112" t="b">
        <v>0</v>
      </c>
      <c r="I69" s="112" t="b">
        <v>0</v>
      </c>
      <c r="J69" s="112" t="b">
        <v>0</v>
      </c>
      <c r="K69" s="112" t="b">
        <v>0</v>
      </c>
      <c r="L69" s="112" t="b">
        <v>0</v>
      </c>
    </row>
    <row r="70" spans="1:12" ht="15">
      <c r="A70" s="112" t="s">
        <v>1259</v>
      </c>
      <c r="B70" s="112" t="s">
        <v>403</v>
      </c>
      <c r="C70" s="112">
        <v>2</v>
      </c>
      <c r="D70" s="114">
        <v>0.011876974462986922</v>
      </c>
      <c r="E70" s="114">
        <v>1.4419568376564116</v>
      </c>
      <c r="F70" s="112" t="s">
        <v>348</v>
      </c>
      <c r="G70" s="112" t="b">
        <v>0</v>
      </c>
      <c r="H70" s="112" t="b">
        <v>0</v>
      </c>
      <c r="I70" s="112" t="b">
        <v>0</v>
      </c>
      <c r="J70" s="112" t="b">
        <v>0</v>
      </c>
      <c r="K70" s="112" t="b">
        <v>0</v>
      </c>
      <c r="L70" s="112" t="b">
        <v>0</v>
      </c>
    </row>
    <row r="71" spans="1:12" ht="15">
      <c r="A71" s="112" t="s">
        <v>1318</v>
      </c>
      <c r="B71" s="112" t="s">
        <v>1319</v>
      </c>
      <c r="C71" s="112">
        <v>2</v>
      </c>
      <c r="D71" s="114">
        <v>0.011876974462986922</v>
      </c>
      <c r="E71" s="114">
        <v>1.919078092376074</v>
      </c>
      <c r="F71" s="112" t="s">
        <v>348</v>
      </c>
      <c r="G71" s="112" t="b">
        <v>0</v>
      </c>
      <c r="H71" s="112" t="b">
        <v>0</v>
      </c>
      <c r="I71" s="112" t="b">
        <v>0</v>
      </c>
      <c r="J71" s="112" t="b">
        <v>0</v>
      </c>
      <c r="K71" s="112" t="b">
        <v>0</v>
      </c>
      <c r="L71" s="112" t="b">
        <v>0</v>
      </c>
    </row>
    <row r="72" spans="1:12" ht="15">
      <c r="A72" s="112" t="s">
        <v>398</v>
      </c>
      <c r="B72" s="112" t="s">
        <v>457</v>
      </c>
      <c r="C72" s="112">
        <v>2</v>
      </c>
      <c r="D72" s="114">
        <v>0.01673443549212137</v>
      </c>
      <c r="E72" s="114">
        <v>1.6074550232146687</v>
      </c>
      <c r="F72" s="112" t="s">
        <v>349</v>
      </c>
      <c r="G72" s="112" t="b">
        <v>0</v>
      </c>
      <c r="H72" s="112" t="b">
        <v>0</v>
      </c>
      <c r="I72" s="112" t="b">
        <v>0</v>
      </c>
      <c r="J72" s="112" t="b">
        <v>0</v>
      </c>
      <c r="K72" s="112" t="b">
        <v>0</v>
      </c>
      <c r="L72" s="112" t="b">
        <v>0</v>
      </c>
    </row>
    <row r="73" spans="1:12" ht="15">
      <c r="A73" s="112" t="s">
        <v>1250</v>
      </c>
      <c r="B73" s="112" t="s">
        <v>1251</v>
      </c>
      <c r="C73" s="112">
        <v>2</v>
      </c>
      <c r="D73" s="114">
        <v>0.01673443549212137</v>
      </c>
      <c r="E73" s="114">
        <v>1.6074550232146687</v>
      </c>
      <c r="F73" s="112" t="s">
        <v>349</v>
      </c>
      <c r="G73" s="112" t="b">
        <v>0</v>
      </c>
      <c r="H73" s="112" t="b">
        <v>0</v>
      </c>
      <c r="I73" s="112" t="b">
        <v>0</v>
      </c>
      <c r="J73" s="112" t="b">
        <v>0</v>
      </c>
      <c r="K73" s="112" t="b">
        <v>0</v>
      </c>
      <c r="L73" s="112" t="b">
        <v>0</v>
      </c>
    </row>
    <row r="74" spans="1:12" ht="15">
      <c r="A74" s="112" t="s">
        <v>1336</v>
      </c>
      <c r="B74" s="112" t="s">
        <v>509</v>
      </c>
      <c r="C74" s="112">
        <v>2</v>
      </c>
      <c r="D74" s="114">
        <v>0.01997057155245768</v>
      </c>
      <c r="E74" s="114">
        <v>1.4771212547196624</v>
      </c>
      <c r="F74" s="112" t="s">
        <v>350</v>
      </c>
      <c r="G74" s="112" t="b">
        <v>0</v>
      </c>
      <c r="H74" s="112" t="b">
        <v>0</v>
      </c>
      <c r="I74" s="112" t="b">
        <v>0</v>
      </c>
      <c r="J74" s="112" t="b">
        <v>0</v>
      </c>
      <c r="K74" s="112" t="b">
        <v>0</v>
      </c>
      <c r="L74" s="112" t="b">
        <v>0</v>
      </c>
    </row>
    <row r="75" spans="1:12" ht="15">
      <c r="A75" s="112" t="s">
        <v>1252</v>
      </c>
      <c r="B75" s="112" t="s">
        <v>1252</v>
      </c>
      <c r="C75" s="112">
        <v>5</v>
      </c>
      <c r="D75" s="114">
        <v>0.1</v>
      </c>
      <c r="E75" s="114">
        <v>0.8239087409443188</v>
      </c>
      <c r="F75" s="112" t="s">
        <v>351</v>
      </c>
      <c r="G75" s="112" t="b">
        <v>0</v>
      </c>
      <c r="H75" s="112" t="b">
        <v>0</v>
      </c>
      <c r="I75" s="112" t="b">
        <v>0</v>
      </c>
      <c r="J75" s="112" t="b">
        <v>0</v>
      </c>
      <c r="K75" s="112" t="b">
        <v>0</v>
      </c>
      <c r="L75" s="112" t="b">
        <v>0</v>
      </c>
    </row>
    <row r="76" spans="1:12" ht="15">
      <c r="A76" s="112" t="s">
        <v>1278</v>
      </c>
      <c r="B76" s="112" t="s">
        <v>1279</v>
      </c>
      <c r="C76" s="112">
        <v>2</v>
      </c>
      <c r="D76" s="114">
        <v>0.027958800173440754</v>
      </c>
      <c r="E76" s="114">
        <v>1.301029995663981</v>
      </c>
      <c r="F76" s="112" t="s">
        <v>351</v>
      </c>
      <c r="G76" s="112" t="b">
        <v>0</v>
      </c>
      <c r="H76" s="112" t="b">
        <v>0</v>
      </c>
      <c r="I76" s="112" t="b">
        <v>0</v>
      </c>
      <c r="J76" s="112" t="b">
        <v>0</v>
      </c>
      <c r="K76" s="112" t="b">
        <v>0</v>
      </c>
      <c r="L76" s="112" t="b">
        <v>0</v>
      </c>
    </row>
    <row r="77" spans="1:12" ht="15">
      <c r="A77" s="112" t="s">
        <v>1255</v>
      </c>
      <c r="B77" s="112" t="s">
        <v>1255</v>
      </c>
      <c r="C77" s="112">
        <v>2</v>
      </c>
      <c r="D77" s="114">
        <v>0.04</v>
      </c>
      <c r="E77" s="114">
        <v>0.7269987279362624</v>
      </c>
      <c r="F77" s="112" t="s">
        <v>351</v>
      </c>
      <c r="G77" s="112" t="b">
        <v>0</v>
      </c>
      <c r="H77" s="112" t="b">
        <v>0</v>
      </c>
      <c r="I77" s="112" t="b">
        <v>0</v>
      </c>
      <c r="J77" s="112" t="b">
        <v>0</v>
      </c>
      <c r="K77" s="112" t="b">
        <v>0</v>
      </c>
      <c r="L77"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9BAF28-7BE4-4B4E-9797-C09F1D85D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2020-07-09T11:33:14Z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