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<sst xmlns="http://schemas.openxmlformats.org/spreadsheetml/2006/main" count="1354" uniqueCount="559">
  <si>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</si>
  <si>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</si>
  <si>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</si>
  <si>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</si>
  <si>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</si>
  <si>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</si>
  <si>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</si>
  <si>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</si>
  <si>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</si>
  <si>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</si>
  <si>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</si>
  <si>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</si>
  <si>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</si>
  <si>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</si>
  <si>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</si>
  <si>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</si>
  <si>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</si>
  <si>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</si>
  <si>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</si>
  <si>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</si>
  <si>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</si>
  <si>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</si>
  <si>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</si>
  <si>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</si>
  <si>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</si>
  <si>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</si>
  <si>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</si>
  <si>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</si>
  <si>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</si>
  <si>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</si>
  <si>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</si>
  <si>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</si>
  <si>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</si>
  <si>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</si>
  <si>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</si>
  <si>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</si>
  <si>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</si>
  <si>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</si>
  <si>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</si>
  <si>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</si>
  <si>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</si>
  <si>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</si>
  <si>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</si>
  <si>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</si>
  <si>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</si>
  <si>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</si>
  <si>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</si>
  <si>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</si>
  <si>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</si>
  <si>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</si>
  <si>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</si>
  <si>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</si>
  <si>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</si>
  <si>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</si>
  <si>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</si>
  <si>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</si>
  <si>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</si>
  <si>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</si>
  <si>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</si>
  <si>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</si>
  <si>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</si>
  <si>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</si>
  <si>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</si>
  <si>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</si>
  <si>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</si>
  <si>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</si>
  <si>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</si>
  <si>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</si>
  <si>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</si>
  <si>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</si>
  <si>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</si>
  <si>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</si>
  <si>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</si>
  <si>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</si>
  <si>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</si>
  <si>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</si>
  <si>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</si>
  <si>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</si>
  <si>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</si>
  <si>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</si>
  <si>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</si>
  <si>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</si>
  <si>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</si>
  <si>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</si>
  <si>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</si>
  <si>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</si>
  <si>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</si>
  <si>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</si>
  <si>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</si>
  <si>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</si>
  <si>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</si>
  <si>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</si>
  <si>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</si>
  <si>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</si>
  <si>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</si>
  <si>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</si>
  <si>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</si>
  <si>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</si>
  <si>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</si>
  <si>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</si>
  <si>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</si>
  <si>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</si>
  <si>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</si>
  <si>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</si>
  <si>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</si>
  <si>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</si>
  <si>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</si>
  <si>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</si>
  <si>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</si>
  <si>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</si>
  <si>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</si>
  <si>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</si>
  <si>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</si>
  <si>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</si>
  <si>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</si>
  <si>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</si>
  <si>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</si>
  <si>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</si>
  <si>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</si>
  <si>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</si>
  <si>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</si>
  <si>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</si>
  <si>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</si>
  <si>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</si>
  <si>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</si>
  <si>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</si>
  <si>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</si>
  <si>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</si>
  <si>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</si>
  <si>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</si>
  <si>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</si>
  <si>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</si>
  <si>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</si>
  <si>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</si>
  <si>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</si>
  <si>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</si>
  <si>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</si>
  <si>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</si>
  <si>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</si>
  <si>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</si>
  <si>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</si>
  <si>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</si>
  <si>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</si>
  <si>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</si>
  <si>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</si>
  <si>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</si>
  <si>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</si>
  <si>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</si>
  <si>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</si>
  <si>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</si>
  <si>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</si>
  <si>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</si>
  <si>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</si>
  <si>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</si>
  <si>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</si>
  <si>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</si>
  <si>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</si>
  <si>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</si>
  <si>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</si>
  <si>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</si>
  <si>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</si>
  <si>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</si>
  <si>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</si>
  <si>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</si>
  <si>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</si>
  <si>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</si>
  <si>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</si>
  <si>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</si>
  <si>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</si>
  <si>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</si>
  <si>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</si>
  <si>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</si>
  <si>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</si>
  <si>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</si>
  <si>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</si>
  <si>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</si>
  <si>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</si>
  <si>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</si>
  <si>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</si>
  <si>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</si>
  <si>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</si>
  <si>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</si>
  <si>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</si>
  <si>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</si>
  <si>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</si>
  <si>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</si>
  <si>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</si>
  <si>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</si>
  <si>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</si>
  <si>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</si>
  <si>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</si>
  <si>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</si>
  <si>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</si>
  <si>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</si>
  <si>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</si>
  <si>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</si>
  <si>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</si>
  <si>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</si>
  <si>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</si>
  <si>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</si>
  <si>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</si>
  <si>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</si>
  <si>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</si>
  <si>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</si>
  <si>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</si>
  <si>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</si>
  <si>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</si>
  <si>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</si>
  <si>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</si>
  <si>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</si>
  <si>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</si>
  <si>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</si>
  <si>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</si>
  <si>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</si>
  <si>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seanpatoshea</t>
  </si>
  <si>
    <t>honeymoonbrew</t>
  </si>
  <si>
    <t>nmbrewersguild</t>
  </si>
  <si>
    <t>kombuchabrewers</t>
  </si>
  <si>
    <t>abqfoundation</t>
  </si>
  <si>
    <t>ft</t>
  </si>
  <si>
    <t>boochnews</t>
  </si>
  <si>
    <t>anneamadden</t>
  </si>
  <si>
    <t>Retweet</t>
  </si>
  <si>
    <t>Mentions</t>
  </si>
  <si>
    <t>Replies to</t>
  </si>
  <si>
    <t>Today we launch our handcrafted + wild + local + gluten free #hardkombucha at 3 #WholeFoods locations: SF- Cerrillos Location and ABQ - Academy + Indian School Locations. Pick up a drink unlike anything you’ve ever tried. @NMBrewersGuild @KombuchaBrewers @AbqFoundation https://t.co/wnfknOe0aW</t>
  </si>
  <si>
    <t>@boochnews @FT The #kombucha breaks down the protein more efficiently. Perhaps?</t>
  </si>
  <si>
    <t>@AnneAMadden It's delicious!</t>
  </si>
  <si>
    <t>Welcome Members! _xD83D__xDC50_ - https://t.co/ZXXPq4vimm</t>
  </si>
  <si>
    <t>https://mailchi.mp/kombuchabrewers/hello-may-4806957</t>
  </si>
  <si>
    <t>mailchi.mp</t>
  </si>
  <si>
    <t>hardkombucha wholefoods</t>
  </si>
  <si>
    <t>kombucha</t>
  </si>
  <si>
    <t>https://pbs.twimg.com/media/EMz9vSTWwAUxRmJ.jpg</t>
  </si>
  <si>
    <t>http://pbs.twimg.com/profile_images/1041152570532618240/AZ1qkeCn_normal.jpg</t>
  </si>
  <si>
    <t>http://pbs.twimg.com/profile_images/1189600680496918529/5nEs4ktf_normal.jpg</t>
  </si>
  <si>
    <t>http://pbs.twimg.com/profile_images/702663532920197121/6aBlYSqG_normal.jpg</t>
  </si>
  <si>
    <t>19:43:14</t>
  </si>
  <si>
    <t>18:00:08</t>
  </si>
  <si>
    <t>15:17:13</t>
  </si>
  <si>
    <t>00:29:36</t>
  </si>
  <si>
    <t>00:30:05</t>
  </si>
  <si>
    <t>07:59:21</t>
  </si>
  <si>
    <t>https://twitter.com/seanpatoshea/status/1210647343227273216</t>
  </si>
  <si>
    <t>https://twitter.com/honeymoonbrew/status/1210621400702210054</t>
  </si>
  <si>
    <t>https://twitter.com/nmbrewersguild/status/1210942786012237825</t>
  </si>
  <si>
    <t>https://twitter.com/kombuchabrewers/status/1211444188786462720</t>
  </si>
  <si>
    <t>https://twitter.com/kombuchabrewers/status/1211444308701659136</t>
  </si>
  <si>
    <t>https://twitter.com/kombuchabrewers/status/1210470207774502912</t>
  </si>
  <si>
    <t>1210647343227273216</t>
  </si>
  <si>
    <t>1210621400702210054</t>
  </si>
  <si>
    <t>1210942786012237825</t>
  </si>
  <si>
    <t>1211444188786462720</t>
  </si>
  <si>
    <t>1211444308701659136</t>
  </si>
  <si>
    <t>1210470207774502912</t>
  </si>
  <si>
    <t>1211333991963381760</t>
  </si>
  <si>
    <t>1211369153023664128</t>
  </si>
  <si>
    <t/>
  </si>
  <si>
    <t>1055983660304744448</t>
  </si>
  <si>
    <t>1511250390</t>
  </si>
  <si>
    <t>en</t>
  </si>
  <si>
    <t>Twitter for Android</t>
  </si>
  <si>
    <t>Twitter for iPhone</t>
  </si>
  <si>
    <t>Mailchimp</t>
  </si>
  <si>
    <t>-109.050173,31.332176 
-103.002065,31.332176 
-103.002065,37.000294 
-109.050173,37.000294</t>
  </si>
  <si>
    <t>United States</t>
  </si>
  <si>
    <t>US</t>
  </si>
  <si>
    <t>New Mexico, USA</t>
  </si>
  <si>
    <t>71d65c0e6d94efab</t>
  </si>
  <si>
    <t>New Mexico</t>
  </si>
  <si>
    <t>admin</t>
  </si>
  <si>
    <t>https://api.twitter.com/1.1/geo/id/71d65c0e6d94efab.json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</si>
  <si>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</si>
  <si>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</si>
  <si>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</si>
  <si>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</si>
  <si>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</si>
  <si>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</si>
  <si>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</si>
  <si>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</si>
  <si>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</si>
  <si>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</si>
  <si>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</si>
  <si>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</si>
  <si>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</si>
  <si>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</si>
  <si>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</si>
  <si>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</si>
  <si>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</si>
  <si>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</si>
  <si>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</si>
  <si>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</si>
  <si>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</si>
  <si>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Sean O'Shea</t>
  </si>
  <si>
    <t>HoneyMoon Brewery</t>
  </si>
  <si>
    <t>ABQ Comm Foundation</t>
  </si>
  <si>
    <t>Kombucha Brewers</t>
  </si>
  <si>
    <t>_xD83C__xDF7B_NM Brewers Guild_xD83C__xDF7B_</t>
  </si>
  <si>
    <t>Financial Times</t>
  </si>
  <si>
    <t>Anne A Madden, Ph.D.</t>
  </si>
  <si>
    <t>Founder &amp; President of HatchForm | economic development program feasibility, creation, upkeep | native Philadelphian playing in the desert</t>
  </si>
  <si>
    <t>HoneyMoon Brewery brews a deeply flavored, high quality, unique and distinctive Hard Kombucha.</t>
  </si>
  <si>
    <t>Leadership | Trust | Legacy</t>
  </si>
  <si>
    <t>NMBG is here to help promote &amp; protect NM craft beer!❄️WINTERBREW is 1.17.20 @ the Santa Fe Farmers Market Pavilion! Get your tix, it sells out every year!❄️</t>
  </si>
  <si>
    <t>Financial Times headlines as they’re published on https://t.co/5BsmLs9y1Z. For a curated feed of our journalism, follow @financialtimes</t>
  </si>
  <si>
    <t>An independent source of Kombucha industry news and views.</t>
  </si>
  <si>
    <t>Revealing the utility of the micro world as scientist, innovator,&amp; #TED speaker. Cofounder @souryeast, founder #MicrobeHatProject, Consultant, #sciart&amp; #scicomm</t>
  </si>
  <si>
    <t>Santa Fe, NM</t>
  </si>
  <si>
    <t>California, USA</t>
  </si>
  <si>
    <t>Albuquerque, New Mexico</t>
  </si>
  <si>
    <t>London</t>
  </si>
  <si>
    <t>Benicia, CA</t>
  </si>
  <si>
    <t>Boston, MA (prob. on a plane)</t>
  </si>
  <si>
    <t>https://t.co/SdG6BrYtVo</t>
  </si>
  <si>
    <t>https://t.co/JWILmsweil</t>
  </si>
  <si>
    <t>http://t.co/X9UOZv7Xuf</t>
  </si>
  <si>
    <t>https://t.co/dFGObB3xOF</t>
  </si>
  <si>
    <t>https://t.co/50ac87hHTY</t>
  </si>
  <si>
    <t>http://t.co/dnhLQpd9BY</t>
  </si>
  <si>
    <t>https://t.co/gCpJYcZExb</t>
  </si>
  <si>
    <t>https://t.co/7gxms9JZ2N</t>
  </si>
  <si>
    <t>https://pbs.twimg.com/profile_banners/4108477632/1532302635</t>
  </si>
  <si>
    <t>https://pbs.twimg.com/profile_banners/3226497493/1576635020</t>
  </si>
  <si>
    <t>https://pbs.twimg.com/profile_banners/87861397/1574289245</t>
  </si>
  <si>
    <t>https://pbs.twimg.com/profile_banners/1169879174/1575648919</t>
  </si>
  <si>
    <t>https://pbs.twimg.com/profile_banners/18949452/1568737238</t>
  </si>
  <si>
    <t>https://pbs.twimg.com/profile_banners/1055983660304744448/1541045507</t>
  </si>
  <si>
    <t>https://pbs.twimg.com/profile_banners/1511250390/1494768879</t>
  </si>
  <si>
    <t>http://abs.twimg.com/images/themes/theme1/bg.png</t>
  </si>
  <si>
    <t>http://abs.twimg.com/images/themes/theme9/bg.gif</t>
  </si>
  <si>
    <t>http://pbs.twimg.com/profile_images/865457555505532929/C7c-MMKF_normal.jpg</t>
  </si>
  <si>
    <t>http://pbs.twimg.com/profile_images/948297117734285312/9_y1YYkE_normal.jpg</t>
  </si>
  <si>
    <t>http://pbs.twimg.com/profile_images/931156393108885504/EqEMtLhM_normal.jpg</t>
  </si>
  <si>
    <t>http://pbs.twimg.com/profile_images/1057847722856706048/kQbJhPGl_normal.jpg</t>
  </si>
  <si>
    <t>http://pbs.twimg.com/profile_images/863749394562207744/-CgHW0wm_normal.jpg</t>
  </si>
  <si>
    <t>Open Twitter Page for This Person</t>
  </si>
  <si>
    <t>https://twitter.com/seanpatoshea</t>
  </si>
  <si>
    <t>https://twitter.com/honeymoonbrew</t>
  </si>
  <si>
    <t>https://twitter.com/abqfoundation</t>
  </si>
  <si>
    <t>https://twitter.com/kombuchabrewers</t>
  </si>
  <si>
    <t>https://twitter.com/nmbrewersguild</t>
  </si>
  <si>
    <t>https://twitter.com/ft</t>
  </si>
  <si>
    <t>https://twitter.com/boochnews</t>
  </si>
  <si>
    <t>https://twitter.com/anneamadden</t>
  </si>
  <si>
    <t>seanpatoshea
Today we launch our handcrafted
+ wild + local + gluten free #hardkombucha
at 3 #WholeFoods locations: SF-
Cerrillos Location and ABQ - Academy
+ Indian School Locations. Pick
up a drink unlike anything you’ve
ever tried. @NMBrewersGuild @KombuchaBrewers
@AbqFoundation https://t.co/wnfknOe0aW</t>
  </si>
  <si>
    <t>honeymoonbrew
Today we launch our handcrafted
+ wild + local + gluten free #hardkombucha
at 3 #WholeFoods locations: SF-
Cerrillos Location and ABQ - Academy
+ Indian School Locations. Pick
up a drink unlike anything you’ve
ever tried. @NMBrewersGuild @KombuchaBrewers
@AbqFoundation https://t.co/wnfknOe0aW</t>
  </si>
  <si>
    <t xml:space="preserve">abqfoundation
</t>
  </si>
  <si>
    <t>kombuchabrewers
@AnneAMadden It's delicious!</t>
  </si>
  <si>
    <t>nmbrewersguild
Today we launch our handcrafted
+ wild + local + gluten free #hardkombucha
at 3 #WholeFoods locations: SF-
Cerrillos Location and ABQ - Academy
+ Indian School Locations. Pick
up a drink unlike anything you’ve
ever tried. @NMBrewersGuild @KombuchaBrewers
@AbqFoundation https://t.co/wnfknOe0aW</t>
  </si>
  <si>
    <t xml:space="preserve">ft
</t>
  </si>
  <si>
    <t xml:space="preserve">boochnews
</t>
  </si>
  <si>
    <t xml:space="preserve">anneamadden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</si>
  <si>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</si>
  <si>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</si>
  <si>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</si>
  <si>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</si>
  <si>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</si>
  <si>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</si>
  <si>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</si>
  <si>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</si>
  <si>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</si>
  <si>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</si>
  <si>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</si>
  <si>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</si>
  <si>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</si>
  <si>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</si>
  <si>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</si>
  <si>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</si>
  <si>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</si>
  <si>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</si>
  <si>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</si>
  <si>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</si>
  <si>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</si>
  <si>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</si>
  <si>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</si>
  <si>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</si>
  <si>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</si>
  <si>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</si>
  <si>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</si>
  <si>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</si>
  <si>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</si>
  <si>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</si>
  <si>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</si>
  <si>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</si>
  <si>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</si>
  <si>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</si>
  <si>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</si>
  <si>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</si>
  <si>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</si>
  <si>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</si>
  <si>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</si>
  <si>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</si>
  <si>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</si>
  <si>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</si>
  <si>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</si>
  <si>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</si>
  <si>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</si>
  <si>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</si>
  <si>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</si>
  <si>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</si>
  <si>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</si>
  <si>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</si>
  <si>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</si>
  <si>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</si>
  <si>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</si>
  <si>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</si>
  <si>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</si>
  <si>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</si>
  <si>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</si>
  <si>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</si>
  <si>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hardkombucha</t>
  </si>
  <si>
    <t>wholefoods</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</si>
  <si>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</si>
  <si>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</si>
  <si>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</si>
  <si>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</si>
  <si>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</si>
  <si>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</si>
  <si>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</si>
  <si>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</si>
  <si>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</si>
  <si>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locations</t>
  </si>
  <si>
    <t>today</t>
  </si>
  <si>
    <t>launch</t>
  </si>
  <si>
    <t>handcrafted</t>
  </si>
  <si>
    <t>wild</t>
  </si>
  <si>
    <t>Top Words in Tweet in G1</t>
  </si>
  <si>
    <t>Top Words in Tweet in G2</t>
  </si>
  <si>
    <t>local</t>
  </si>
  <si>
    <t>gluten</t>
  </si>
  <si>
    <t>free</t>
  </si>
  <si>
    <t>#hardkombucha</t>
  </si>
  <si>
    <t>3</t>
  </si>
  <si>
    <t>Top Words in Tweet</t>
  </si>
  <si>
    <t>locations today launch handcrafted wild local gluten free #hardkombucha 3</t>
  </si>
  <si>
    <t>Top Word Pairs in Tweet in Entire Graph</t>
  </si>
  <si>
    <t>today,launch</t>
  </si>
  <si>
    <t>launch,handcrafted</t>
  </si>
  <si>
    <t>handcrafted,wild</t>
  </si>
  <si>
    <t>wild,local</t>
  </si>
  <si>
    <t>local,gluten</t>
  </si>
  <si>
    <t>gluten,free</t>
  </si>
  <si>
    <t>free,#hardkombucha</t>
  </si>
  <si>
    <t>#hardkombucha,3</t>
  </si>
  <si>
    <t>3,#wholefoods</t>
  </si>
  <si>
    <t>#wholefoods,locations</t>
  </si>
  <si>
    <t>Top Word Pairs in Tweet in G1</t>
  </si>
  <si>
    <t>Top Word Pairs in Tweet in G2</t>
  </si>
  <si>
    <t>Top Word Pairs in Tweet</t>
  </si>
  <si>
    <t>today,launch  launch,handcrafted  handcrafted,wild  wild,local  local,gluten  gluten,free  free,#hardkombucha  #hardkombucha,3  3,#wholefoods  #wholefoods,locations</t>
  </si>
  <si>
    <t>Top Replied-To in Entire Graph</t>
  </si>
  <si>
    <t>Top Mentioned in Entire Graph</t>
  </si>
  <si>
    <t>Top Replied-To in G1</t>
  </si>
  <si>
    <t>Top Replied-To in G2</t>
  </si>
  <si>
    <t>Top Mentioned in G1</t>
  </si>
  <si>
    <t>Top Mentioned in G2</t>
  </si>
  <si>
    <t>Top Replied-To in Tweet</t>
  </si>
  <si>
    <t>anneamadden boochnews</t>
  </si>
  <si>
    <t>Top Mentioned in Tweet</t>
  </si>
  <si>
    <t>nmbrewersguild kombuchabrewers abqfoundation</t>
  </si>
  <si>
    <t>Top Tweeters in Entire Graph</t>
  </si>
  <si>
    <t>Top Tweeters in G1</t>
  </si>
  <si>
    <t>Top Tweeters in G2</t>
  </si>
  <si>
    <t>Top Tweeters</t>
  </si>
  <si>
    <t>ft anneamadden kombuchabrewers boochnews</t>
  </si>
  <si>
    <t>abqfoundation nmbrewersguild seanpatoshea honeymoonbrew</t>
  </si>
  <si>
    <t>Top URLs in Tweet by Count</t>
  </si>
  <si>
    <t>Top URLs in Tweet by Salience</t>
  </si>
  <si>
    <t>Top Domains in Tweet by Count</t>
  </si>
  <si>
    <t>Top Domains in Tweet by Salience</t>
  </si>
  <si>
    <t>Top Hashtags in Tweet by Count</t>
  </si>
  <si>
    <t>Top Hashtags in Tweet by Salience</t>
  </si>
  <si>
    <t>Top Words in Tweet by Count</t>
  </si>
  <si>
    <t>anneamadden delicious boochnews ft #kombucha breaks down protein more efficiently</t>
  </si>
  <si>
    <t>Top Words in Tweet by Salience</t>
  </si>
  <si>
    <t>Top Word Pairs in Tweet by Count</t>
  </si>
  <si>
    <t>anneamadden,delicious  boochnews,ft  ft,#kombucha  #kombucha,breaks  breaks,down  down,protein  protein,more  more,efficiently  efficiently,perhaps  welcome,members</t>
  </si>
  <si>
    <t>Top Word Pairs in Tweet by Salience</t>
  </si>
  <si>
    <t>Word</t>
  </si>
  <si>
    <t>#wholefoods</t>
  </si>
  <si>
    <t>sf</t>
  </si>
  <si>
    <t>cerrillos</t>
  </si>
  <si>
    <t>location</t>
  </si>
  <si>
    <t>abq</t>
  </si>
  <si>
    <t>academy</t>
  </si>
  <si>
    <t>indian</t>
  </si>
  <si>
    <t>school</t>
  </si>
  <si>
    <t>pick</t>
  </si>
  <si>
    <t>up</t>
  </si>
  <si>
    <t>drink</t>
  </si>
  <si>
    <t>unlike</t>
  </si>
  <si>
    <t>anything</t>
  </si>
  <si>
    <t>ve</t>
  </si>
  <si>
    <t>tried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</si>
  <si>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</si>
  <si>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</si>
  <si>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</si>
  <si>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</si>
  <si>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</si>
  <si>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</si>
  <si>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</si>
  <si>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</si>
  <si>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</si>
  <si>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</si>
  <si>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</si>
  <si>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</si>
  <si>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</si>
  <si>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</si>
  <si>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</si>
  <si>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</si>
  <si>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</si>
  <si>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</si>
  <si>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</si>
  <si>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</si>
  <si>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</si>
  <si>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</si>
  <si>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</si>
  <si>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</si>
  <si>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</si>
  <si>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</si>
  <si>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</si>
  <si>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</si>
  <si>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</si>
  <si>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</si>
  <si>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</si>
  <si>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</si>
  <si>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</si>
  <si>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</si>
  <si>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</si>
  <si>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</si>
  <si>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</si>
  <si>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</si>
  <si>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</si>
  <si>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</si>
  <si>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</si>
  <si>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</si>
  <si>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</si>
  <si>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</si>
  <si>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</si>
  <si>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</si>
  <si>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</si>
  <si>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</si>
  <si>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</si>
  <si>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</si>
  <si>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</si>
  <si>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</si>
  <si>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</si>
  <si>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</si>
  <si>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</si>
  <si>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</si>
  <si>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</si>
  <si>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</si>
  <si>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</si>
  <si>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</si>
  <si>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G2: locations today launch handcrafted wild local gluten free #hardkombucha 3</t>
  </si>
  <si>
    <t>Autofill Workbook Results</t>
  </si>
  <si>
    <t>Edge Weight▓1▓1▓0▓True▓Green▓Red▓▓Edge Weight▓1▓1▓0▓3▓10▓False▓Edge Weight▓1▓1▓0▓32▓6▓False▓▓0▓0▓0▓True▓Black▓Black▓▓Followers▓127▓7269▓0▓162▓1000▓False▓Followers▓127▓3794190▓0▓100▓70▓False▓▓0▓0▓0▓0▓0▓False▓▓0▓0▓0▓0▓0▓False</t>
  </si>
  <si>
    <t>Subgraph</t>
  </si>
  <si>
    <t>GraphSource░TwitterSearch▓GraphTerm░KombuchaBrewers▓ImportDescription░The graph represents a network of 8 Twitter users whose recent tweets contained "KombuchaBrewers", or who were replied to or mentioned in those tweets, taken from a data set limited to a maximum of 18,000 tweets.  The network was obtained from Twitter on Monday, 30 December 2019 at 16:43 UTC.
The tweets in the network were tweeted over the 2-day, 16-hour, 30-minute period from Friday, 27 December 2019 at 07:59 UTC to Monday, 30 December 2019 at 00:30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</si>
</sst>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8"/>
      <tableStyleElement type="headerRow" dxfId="307"/>
    </tableStyle>
    <tableStyle name="NodeXL Table" pivot="0" count="1">
      <tableStyleElement type="headerRow"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256072"/>
        <c:axId val="9542601"/>
      </c:barChart>
      <c:catAx>
        <c:axId val="53256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542601"/>
        <c:crosses val="autoZero"/>
        <c:auto val="1"/>
        <c:lblOffset val="100"/>
        <c:noMultiLvlLbl val="0"/>
      </c:catAx>
      <c:valAx>
        <c:axId val="954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56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774546"/>
        <c:axId val="34753187"/>
      </c:barChart>
      <c:catAx>
        <c:axId val="187745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753187"/>
        <c:crosses val="autoZero"/>
        <c:auto val="1"/>
        <c:lblOffset val="100"/>
        <c:noMultiLvlLbl val="0"/>
      </c:catAx>
      <c:valAx>
        <c:axId val="34753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74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4343228"/>
        <c:axId val="63544733"/>
      </c:barChart>
      <c:catAx>
        <c:axId val="443432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544733"/>
        <c:crosses val="autoZero"/>
        <c:auto val="1"/>
        <c:lblOffset val="100"/>
        <c:noMultiLvlLbl val="0"/>
      </c:catAx>
      <c:valAx>
        <c:axId val="63544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43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5031686"/>
        <c:axId val="46849719"/>
      </c:barChart>
      <c:catAx>
        <c:axId val="35031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49719"/>
        <c:crosses val="autoZero"/>
        <c:auto val="1"/>
        <c:lblOffset val="100"/>
        <c:noMultiLvlLbl val="0"/>
      </c:catAx>
      <c:valAx>
        <c:axId val="4684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31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994288"/>
        <c:axId val="36730865"/>
      </c:barChart>
      <c:catAx>
        <c:axId val="18994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730865"/>
        <c:crosses val="autoZero"/>
        <c:auto val="1"/>
        <c:lblOffset val="100"/>
        <c:noMultiLvlLbl val="0"/>
      </c:catAx>
      <c:valAx>
        <c:axId val="36730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9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2142330"/>
        <c:axId val="22410059"/>
      </c:barChart>
      <c:catAx>
        <c:axId val="621423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410059"/>
        <c:crosses val="autoZero"/>
        <c:auto val="1"/>
        <c:lblOffset val="100"/>
        <c:noMultiLvlLbl val="0"/>
      </c:catAx>
      <c:valAx>
        <c:axId val="224100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42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63940"/>
        <c:axId val="3275461"/>
      </c:barChart>
      <c:catAx>
        <c:axId val="3639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75461"/>
        <c:crosses val="autoZero"/>
        <c:auto val="1"/>
        <c:lblOffset val="100"/>
        <c:noMultiLvlLbl val="0"/>
      </c:catAx>
      <c:valAx>
        <c:axId val="3275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000920"/>
        <c:axId val="15463961"/>
      </c:barChart>
      <c:catAx>
        <c:axId val="39000920"/>
        <c:scaling>
          <c:orientation val="minMax"/>
        </c:scaling>
        <c:axPos val="b"/>
        <c:delete val="1"/>
        <c:majorTickMark val="out"/>
        <c:minorTickMark val="none"/>
        <c:tickLblPos val="none"/>
        <c:crossAx val="15463961"/>
        <c:crosses val="autoZero"/>
        <c:auto val="1"/>
        <c:lblOffset val="100"/>
        <c:noMultiLvlLbl val="0"/>
      </c:catAx>
      <c:valAx>
        <c:axId val="15463961"/>
        <c:scaling>
          <c:orientation val="minMax"/>
        </c:scaling>
        <c:axPos val="l"/>
        <c:delete val="1"/>
        <c:majorTickMark val="out"/>
        <c:minorTickMark val="none"/>
        <c:tickLblPos val="none"/>
        <c:crossAx val="390009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eanpatoshe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honeymoonbr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bqfoundati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kombuchabrew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nmbrewersguil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f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ooch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nneamadd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6" totalsRowShown="0" headerRowDxfId="305" dataDxfId="304">
  <autoFilter ref="A2:BN16"/>
  <tableColumns count="66">
    <tableColumn id="1" name="Vertex 1" dataDxfId="303"/>
    <tableColumn id="2" name="Vertex 2" dataDxfId="302"/>
    <tableColumn id="3" name="Color" dataDxfId="301"/>
    <tableColumn id="4" name="Width" dataDxfId="300"/>
    <tableColumn id="11" name="Style" dataDxfId="299"/>
    <tableColumn id="5" name="Opacity" dataDxfId="298"/>
    <tableColumn id="6" name="Visibility" dataDxfId="297"/>
    <tableColumn id="10" name="Label" dataDxfId="296"/>
    <tableColumn id="12" name="Label Text Color" dataDxfId="295"/>
    <tableColumn id="13" name="Label Font Size" dataDxfId="294"/>
    <tableColumn id="14" name="Reciprocated?" dataDxfId="159"/>
    <tableColumn id="7" name="ID" dataDxfId="293"/>
    <tableColumn id="9" name="Dynamic Filter" dataDxfId="292"/>
    <tableColumn id="8" name="Add Your Own Columns Here" dataDxfId="291"/>
    <tableColumn id="15" name="Relationship" dataDxfId="290"/>
    <tableColumn id="16" name="Relationship Date (UTC)" dataDxfId="289"/>
    <tableColumn id="17" name="Tweet" dataDxfId="288"/>
    <tableColumn id="18" name="URLs in Tweet" dataDxfId="287"/>
    <tableColumn id="19" name="Domains in Tweet" dataDxfId="286"/>
    <tableColumn id="20" name="Hashtags in Tweet" dataDxfId="285"/>
    <tableColumn id="21" name="Media in Tweet" dataDxfId="284"/>
    <tableColumn id="22" name="Tweet Image File" dataDxfId="283"/>
    <tableColumn id="23" name="Tweet Date (UTC)" dataDxfId="282"/>
    <tableColumn id="24" name="Date" dataDxfId="281"/>
    <tableColumn id="25" name="Time" dataDxfId="280"/>
    <tableColumn id="26" name="Twitter Page for Tweet" dataDxfId="279"/>
    <tableColumn id="27" name="Latitude" dataDxfId="278"/>
    <tableColumn id="28" name="Longitude" dataDxfId="277"/>
    <tableColumn id="29" name="Imported ID" dataDxfId="276"/>
    <tableColumn id="30" name="In-Reply-To Tweet ID" dataDxfId="275"/>
    <tableColumn id="31" name="Favorited" dataDxfId="274"/>
    <tableColumn id="32" name="Favorite Count" dataDxfId="273"/>
    <tableColumn id="33" name="In-Reply-To User ID" dataDxfId="272"/>
    <tableColumn id="34" name="Is Quote Status" dataDxfId="271"/>
    <tableColumn id="35" name="Language" dataDxfId="270"/>
    <tableColumn id="36" name="Possibly Sensitive" dataDxfId="269"/>
    <tableColumn id="37" name="Quoted Status ID" dataDxfId="268"/>
    <tableColumn id="38" name="Retweeted" dataDxfId="267"/>
    <tableColumn id="39" name="Retweet Count" dataDxfId="266"/>
    <tableColumn id="40" name="Retweet ID" dataDxfId="265"/>
    <tableColumn id="41" name="Source" dataDxfId="264"/>
    <tableColumn id="42" name="Truncated" dataDxfId="263"/>
    <tableColumn id="43" name="Unified Twitter ID" dataDxfId="262"/>
    <tableColumn id="44" name="Imported Tweet Type" dataDxfId="261"/>
    <tableColumn id="45" name="Added By Extended Analysis" dataDxfId="260"/>
    <tableColumn id="46" name="Corrected By Extended Analysis" dataDxfId="259"/>
    <tableColumn id="47" name="Place Bounding Box" dataDxfId="258"/>
    <tableColumn id="48" name="Place Country" dataDxfId="257"/>
    <tableColumn id="49" name="Place Country Code" dataDxfId="256"/>
    <tableColumn id="50" name="Place Full Name" dataDxfId="255"/>
    <tableColumn id="51" name="Place ID" dataDxfId="254"/>
    <tableColumn id="52" name="Place Name" dataDxfId="253"/>
    <tableColumn id="53" name="Place Type" dataDxfId="252"/>
    <tableColumn id="54" name="Place URL" dataDxfId="251"/>
    <tableColumn id="55" name="Edge Weight"/>
    <tableColumn id="56" name="Vertex 1 Group" dataDxfId="17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158" dataDxfId="157">
  <autoFilter ref="A1:F2"/>
  <tableColumns count="6">
    <tableColumn id="1" name="Top URLs in Tweet in Entire Graph" dataDxfId="156"/>
    <tableColumn id="2" name="Entire Graph Count" dataDxfId="155"/>
    <tableColumn id="3" name="Top URLs in Tweet in G1" dataDxfId="154"/>
    <tableColumn id="4" name="G1 Count" dataDxfId="153"/>
    <tableColumn id="5" name="Top URLs in Tweet in G2" dataDxfId="152"/>
    <tableColumn id="6" name="G2 Count"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F6" totalsRowShown="0" headerRowDxfId="149" dataDxfId="148">
  <autoFilter ref="A5:F6"/>
  <tableColumns count="6">
    <tableColumn id="1" name="Top Domains in Tweet in Entire Graph" dataDxfId="147"/>
    <tableColumn id="2" name="Entire Graph Count" dataDxfId="146"/>
    <tableColumn id="3" name="Top Domains in Tweet in G1" dataDxfId="145"/>
    <tableColumn id="4" name="G1 Count" dataDxfId="144"/>
    <tableColumn id="5" name="Top Domains in Tweet in G2" dataDxfId="143"/>
    <tableColumn id="6" name="G2 Count" dataDxfId="14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F12" totalsRowShown="0" headerRowDxfId="140" dataDxfId="139">
  <autoFilter ref="A9:F12"/>
  <tableColumns count="6">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F25" totalsRowShown="0" headerRowDxfId="131" dataDxfId="130">
  <autoFilter ref="A15:F25"/>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F38" totalsRowShown="0" headerRowDxfId="122" dataDxfId="121">
  <autoFilter ref="A28:F38"/>
  <tableColumns count="6">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F43" totalsRowShown="0" headerRowDxfId="113" dataDxfId="112">
  <autoFilter ref="A41:F43"/>
  <tableColumns count="6">
    <tableColumn id="1" name="Top Replied-To in Entire Graph" dataDxfId="111"/>
    <tableColumn id="2" name="Entire Graph Count" dataDxfId="107"/>
    <tableColumn id="3" name="Top Replied-To in G1" dataDxfId="106"/>
    <tableColumn id="4" name="G1 Count" dataDxfId="103"/>
    <tableColumn id="5" name="Top Replied-To in G2" dataDxfId="102"/>
    <tableColumn id="6" name="G2 Count" dataDxfId="10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6:F50" totalsRowShown="0" headerRowDxfId="110" dataDxfId="109">
  <autoFilter ref="A46:F50"/>
  <tableColumns count="6">
    <tableColumn id="1" name="Top Mentioned in Entire Graph" dataDxfId="108"/>
    <tableColumn id="2" name="Entire Graph Count" dataDxfId="105"/>
    <tableColumn id="3" name="Top Mentioned in G1" dataDxfId="104"/>
    <tableColumn id="4" name="G1 Count" dataDxfId="100"/>
    <tableColumn id="5" name="Top Mentioned in G2" dataDxfId="99"/>
    <tableColumn id="6" name="G2 Count" dataDxfId="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3:F61" totalsRowShown="0" headerRowDxfId="95" dataDxfId="94">
  <autoFilter ref="A53:F61"/>
  <tableColumns count="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 totalsRowShown="0" headerRowDxfId="76" dataDxfId="75">
  <autoFilter ref="A1:G62"/>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 totalsRowShown="0" headerRowDxfId="250" dataDxfId="249">
  <autoFilter ref="A2:BT10"/>
  <tableColumns count="72">
    <tableColumn id="1" name="Vertex" dataDxfId="248"/>
    <tableColumn id="72" name="Subgraph"/>
    <tableColumn id="2" name="Color" dataDxfId="247"/>
    <tableColumn id="5" name="Shape" dataDxfId="246"/>
    <tableColumn id="6" name="Size" dataDxfId="245"/>
    <tableColumn id="4" name="Opacity" dataDxfId="244"/>
    <tableColumn id="7" name="Image File" dataDxfId="243"/>
    <tableColumn id="3" name="Visibility" dataDxfId="242"/>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31"/>
    <tableColumn id="28" name="Dynamic Filter" dataDxfId="230"/>
    <tableColumn id="17" name="Add Your Own Columns Here" dataDxfId="229"/>
    <tableColumn id="30" name="Name" dataDxfId="228"/>
    <tableColumn id="31" name="Followed" dataDxfId="227"/>
    <tableColumn id="32" name="Followers" dataDxfId="226"/>
    <tableColumn id="33" name="Tweets" dataDxfId="225"/>
    <tableColumn id="34" name="Favorites" dataDxfId="224"/>
    <tableColumn id="35" name="Time Zone UTC Offset (Seconds)" dataDxfId="223"/>
    <tableColumn id="36" name="Description" dataDxfId="222"/>
    <tableColumn id="37" name="Location" dataDxfId="221"/>
    <tableColumn id="38" name="Web" dataDxfId="220"/>
    <tableColumn id="39" name="Time Zone" dataDxfId="219"/>
    <tableColumn id="40" name="Joined Twitter Date (UTC)" dataDxfId="218"/>
    <tableColumn id="41" name="Profile Banner Url" dataDxfId="217"/>
    <tableColumn id="42" name="Default Profile" dataDxfId="216"/>
    <tableColumn id="43" name="Default Profile Image" dataDxfId="215"/>
    <tableColumn id="44" name="Geo Enabled" dataDxfId="214"/>
    <tableColumn id="45" name="Language" dataDxfId="213"/>
    <tableColumn id="46" name="Listed Count" dataDxfId="212"/>
    <tableColumn id="47" name="Profile Background Image Url" dataDxfId="211"/>
    <tableColumn id="48" name="Verified" dataDxfId="210"/>
    <tableColumn id="49" name="Custom Menu Item Text" dataDxfId="209"/>
    <tableColumn id="50" name="Custom Menu Item Action" dataDxfId="208"/>
    <tableColumn id="51" name="Tweeted Search Term?" dataDxfId="17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7" totalsRowShown="0" headerRowDxfId="67" dataDxfId="66">
  <autoFilter ref="A1:L57"/>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5" totalsRowShown="0" headerRowDxfId="23" dataDxfId="22">
  <autoFilter ref="A2:C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9" totalsRowShown="0" headerRowDxfId="5" dataDxfId="4">
  <autoFilter ref="A1:B9"/>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7">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06"/>
    <tableColumn id="20" name="Collapsed X"/>
    <tableColumn id="21" name="Collapsed Y"/>
    <tableColumn id="6" name="ID" dataDxfId="205"/>
    <tableColumn id="19" name="Collapsed Properties" dataDxfId="173"/>
    <tableColumn id="5" name="Vertices" dataDxfId="172"/>
    <tableColumn id="7" name="Unique Edges" dataDxfId="171"/>
    <tableColumn id="8" name="Edges With Duplicates" dataDxfId="170"/>
    <tableColumn id="9" name="Total Edges" dataDxfId="169"/>
    <tableColumn id="10" name="Self-Loops" dataDxfId="168"/>
    <tableColumn id="24" name="Reciprocated Vertex Pair Ratio" dataDxfId="167"/>
    <tableColumn id="25" name="Reciprocated Edge Ratio" dataDxfId="166"/>
    <tableColumn id="11" name="Connected Components" dataDxfId="165"/>
    <tableColumn id="12" name="Single-Vertex Connected Components" dataDxfId="164"/>
    <tableColumn id="13" name="Maximum Vertices in a Connected Component" dataDxfId="163"/>
    <tableColumn id="14" name="Maximum Edges in a Connected Component" dataDxfId="162"/>
    <tableColumn id="15" name="Maximum Geodesic Distance (Diameter)" dataDxfId="161"/>
    <tableColumn id="16" name="Average Geodesic Distance" dataDxfId="160"/>
    <tableColumn id="17" name="Graph Density" dataDxfId="150"/>
    <tableColumn id="23" name="Top URLs in Tweet" dataDxfId="141"/>
    <tableColumn id="26" name="Top Domains in Tweet" dataDxfId="132"/>
    <tableColumn id="27" name="Top Hashtags in Tweet" dataDxfId="123"/>
    <tableColumn id="28" name="Top Words in Tweet" dataDxfId="114"/>
    <tableColumn id="29" name="Top Word Pairs in Tweet" dataDxfId="97"/>
    <tableColumn id="30" name="Top Replied-To in Tweet" dataDxfId="9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04" dataDxfId="203">
  <autoFilter ref="A1:C9"/>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ailchi.mp/kombuchabrewers/hello-may-4806957" TargetMode="External" /><Relationship Id="rId2" Type="http://schemas.openxmlformats.org/officeDocument/2006/relationships/hyperlink" Target="https://pbs.twimg.com/media/EMz9vSTWwAUxRmJ.jpg" TargetMode="External" /><Relationship Id="rId3" Type="http://schemas.openxmlformats.org/officeDocument/2006/relationships/hyperlink" Target="https://pbs.twimg.com/media/EMz9vSTWwAUxRmJ.jpg" TargetMode="External" /><Relationship Id="rId4" Type="http://schemas.openxmlformats.org/officeDocument/2006/relationships/hyperlink" Target="https://pbs.twimg.com/media/EMz9vSTWwAUxRmJ.jpg" TargetMode="External" /><Relationship Id="rId5" Type="http://schemas.openxmlformats.org/officeDocument/2006/relationships/hyperlink" Target="http://pbs.twimg.com/profile_images/1041152570532618240/AZ1qkeCn_normal.jpg" TargetMode="External" /><Relationship Id="rId6" Type="http://schemas.openxmlformats.org/officeDocument/2006/relationships/hyperlink" Target="http://pbs.twimg.com/profile_images/1041152570532618240/AZ1qkeCn_normal.jpg" TargetMode="External" /><Relationship Id="rId7" Type="http://schemas.openxmlformats.org/officeDocument/2006/relationships/hyperlink" Target="http://pbs.twimg.com/profile_images/1041152570532618240/AZ1qkeCn_normal.jpg" TargetMode="External" /><Relationship Id="rId8" Type="http://schemas.openxmlformats.org/officeDocument/2006/relationships/hyperlink" Target="http://pbs.twimg.com/profile_images/1041152570532618240/AZ1qkeCn_normal.jpg" TargetMode="External" /><Relationship Id="rId9" Type="http://schemas.openxmlformats.org/officeDocument/2006/relationships/hyperlink" Target="https://pbs.twimg.com/media/EMz9vSTWwAUxRmJ.jpg" TargetMode="External" /><Relationship Id="rId10" Type="http://schemas.openxmlformats.org/officeDocument/2006/relationships/hyperlink" Target="https://pbs.twimg.com/media/EMz9vSTWwAUxRmJ.jpg" TargetMode="External" /><Relationship Id="rId11" Type="http://schemas.openxmlformats.org/officeDocument/2006/relationships/hyperlink" Target="https://pbs.twimg.com/media/EMz9vSTWwAUxRmJ.jpg" TargetMode="External" /><Relationship Id="rId12" Type="http://schemas.openxmlformats.org/officeDocument/2006/relationships/hyperlink" Target="http://pbs.twimg.com/profile_images/1189600680496918529/5nEs4ktf_normal.jpg" TargetMode="External" /><Relationship Id="rId13" Type="http://schemas.openxmlformats.org/officeDocument/2006/relationships/hyperlink" Target="http://pbs.twimg.com/profile_images/1189600680496918529/5nEs4ktf_normal.jpg" TargetMode="External" /><Relationship Id="rId14" Type="http://schemas.openxmlformats.org/officeDocument/2006/relationships/hyperlink" Target="http://pbs.twimg.com/profile_images/1189600680496918529/5nEs4ktf_normal.jpg" TargetMode="External" /><Relationship Id="rId15" Type="http://schemas.openxmlformats.org/officeDocument/2006/relationships/hyperlink" Target="http://pbs.twimg.com/profile_images/702663532920197121/6aBlYSqG_normal.jpg" TargetMode="External" /><Relationship Id="rId16" Type="http://schemas.openxmlformats.org/officeDocument/2006/relationships/hyperlink" Target="http://pbs.twimg.com/profile_images/702663532920197121/6aBlYSqG_normal.jpg" TargetMode="External" /><Relationship Id="rId17" Type="http://schemas.openxmlformats.org/officeDocument/2006/relationships/hyperlink" Target="http://pbs.twimg.com/profile_images/702663532920197121/6aBlYSqG_normal.jpg" TargetMode="External" /><Relationship Id="rId18" Type="http://schemas.openxmlformats.org/officeDocument/2006/relationships/hyperlink" Target="http://pbs.twimg.com/profile_images/702663532920197121/6aBlYSqG_normal.jpg" TargetMode="External" /><Relationship Id="rId19" Type="http://schemas.openxmlformats.org/officeDocument/2006/relationships/hyperlink" Target="https://twitter.com/seanpatoshea/status/1210647343227273216" TargetMode="External" /><Relationship Id="rId20" Type="http://schemas.openxmlformats.org/officeDocument/2006/relationships/hyperlink" Target="https://twitter.com/seanpatoshea/status/1210647343227273216" TargetMode="External" /><Relationship Id="rId21" Type="http://schemas.openxmlformats.org/officeDocument/2006/relationships/hyperlink" Target="https://twitter.com/seanpatoshea/status/1210647343227273216" TargetMode="External" /><Relationship Id="rId22" Type="http://schemas.openxmlformats.org/officeDocument/2006/relationships/hyperlink" Target="https://twitter.com/seanpatoshea/status/1210647343227273216" TargetMode="External" /><Relationship Id="rId23" Type="http://schemas.openxmlformats.org/officeDocument/2006/relationships/hyperlink" Target="https://twitter.com/honeymoonbrew/status/1210621400702210054" TargetMode="External" /><Relationship Id="rId24" Type="http://schemas.openxmlformats.org/officeDocument/2006/relationships/hyperlink" Target="https://twitter.com/honeymoonbrew/status/1210621400702210054" TargetMode="External" /><Relationship Id="rId25" Type="http://schemas.openxmlformats.org/officeDocument/2006/relationships/hyperlink" Target="https://twitter.com/honeymoonbrew/status/1210621400702210054" TargetMode="External" /><Relationship Id="rId26" Type="http://schemas.openxmlformats.org/officeDocument/2006/relationships/hyperlink" Target="https://twitter.com/nmbrewersguild/status/1210942786012237825" TargetMode="External" /><Relationship Id="rId27" Type="http://schemas.openxmlformats.org/officeDocument/2006/relationships/hyperlink" Target="https://twitter.com/nmbrewersguild/status/1210942786012237825" TargetMode="External" /><Relationship Id="rId28" Type="http://schemas.openxmlformats.org/officeDocument/2006/relationships/hyperlink" Target="https://twitter.com/nmbrewersguild/status/1210942786012237825" TargetMode="External" /><Relationship Id="rId29" Type="http://schemas.openxmlformats.org/officeDocument/2006/relationships/hyperlink" Target="https://twitter.com/kombuchabrewers/status/1211444188786462720" TargetMode="External" /><Relationship Id="rId30" Type="http://schemas.openxmlformats.org/officeDocument/2006/relationships/hyperlink" Target="https://twitter.com/kombuchabrewers/status/1211444188786462720" TargetMode="External" /><Relationship Id="rId31" Type="http://schemas.openxmlformats.org/officeDocument/2006/relationships/hyperlink" Target="https://twitter.com/kombuchabrewers/status/1211444308701659136" TargetMode="External" /><Relationship Id="rId32" Type="http://schemas.openxmlformats.org/officeDocument/2006/relationships/hyperlink" Target="https://twitter.com/kombuchabrewers/status/1210470207774502912" TargetMode="External" /><Relationship Id="rId33" Type="http://schemas.openxmlformats.org/officeDocument/2006/relationships/hyperlink" Target="https://api.twitter.com/1.1/geo/id/71d65c0e6d94efab.json" TargetMode="External" /><Relationship Id="rId34" Type="http://schemas.openxmlformats.org/officeDocument/2006/relationships/hyperlink" Target="https://api.twitter.com/1.1/geo/id/71d65c0e6d94efab.json" TargetMode="External" /><Relationship Id="rId35" Type="http://schemas.openxmlformats.org/officeDocument/2006/relationships/hyperlink" Target="https://api.twitter.com/1.1/geo/id/71d65c0e6d94efab.json" TargetMode="External" /><Relationship Id="rId36" Type="http://schemas.openxmlformats.org/officeDocument/2006/relationships/comments" Target="../comments1.xml" /><Relationship Id="rId37" Type="http://schemas.openxmlformats.org/officeDocument/2006/relationships/vmlDrawing" Target="../drawings/vmlDrawing1.vml" /><Relationship Id="rId38" Type="http://schemas.openxmlformats.org/officeDocument/2006/relationships/table" Target="../tables/table1.xml" /><Relationship Id="rId3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dG6BrYtVo" TargetMode="External" /><Relationship Id="rId2" Type="http://schemas.openxmlformats.org/officeDocument/2006/relationships/hyperlink" Target="https://t.co/JWILmsweil" TargetMode="External" /><Relationship Id="rId3" Type="http://schemas.openxmlformats.org/officeDocument/2006/relationships/hyperlink" Target="http://t.co/X9UOZv7Xuf" TargetMode="External" /><Relationship Id="rId4" Type="http://schemas.openxmlformats.org/officeDocument/2006/relationships/hyperlink" Target="https://t.co/dFGObB3xOF" TargetMode="External" /><Relationship Id="rId5" Type="http://schemas.openxmlformats.org/officeDocument/2006/relationships/hyperlink" Target="https://t.co/50ac87hHTY" TargetMode="External" /><Relationship Id="rId6" Type="http://schemas.openxmlformats.org/officeDocument/2006/relationships/hyperlink" Target="http://t.co/dnhLQpd9BY" TargetMode="External" /><Relationship Id="rId7" Type="http://schemas.openxmlformats.org/officeDocument/2006/relationships/hyperlink" Target="https://t.co/gCpJYcZExb" TargetMode="External" /><Relationship Id="rId8" Type="http://schemas.openxmlformats.org/officeDocument/2006/relationships/hyperlink" Target="https://t.co/7gxms9JZ2N" TargetMode="External" /><Relationship Id="rId9" Type="http://schemas.openxmlformats.org/officeDocument/2006/relationships/hyperlink" Target="https://pbs.twimg.com/profile_banners/4108477632/1532302635" TargetMode="External" /><Relationship Id="rId10" Type="http://schemas.openxmlformats.org/officeDocument/2006/relationships/hyperlink" Target="https://pbs.twimg.com/profile_banners/3226497493/1576635020" TargetMode="External" /><Relationship Id="rId11" Type="http://schemas.openxmlformats.org/officeDocument/2006/relationships/hyperlink" Target="https://pbs.twimg.com/profile_banners/87861397/1574289245" TargetMode="External" /><Relationship Id="rId12" Type="http://schemas.openxmlformats.org/officeDocument/2006/relationships/hyperlink" Target="https://pbs.twimg.com/profile_banners/1169879174/1575648919" TargetMode="External" /><Relationship Id="rId13" Type="http://schemas.openxmlformats.org/officeDocument/2006/relationships/hyperlink" Target="https://pbs.twimg.com/profile_banners/18949452/1568737238" TargetMode="External" /><Relationship Id="rId14" Type="http://schemas.openxmlformats.org/officeDocument/2006/relationships/hyperlink" Target="https://pbs.twimg.com/profile_banners/1055983660304744448/1541045507" TargetMode="External" /><Relationship Id="rId15" Type="http://schemas.openxmlformats.org/officeDocument/2006/relationships/hyperlink" Target="https://pbs.twimg.com/profile_banners/1511250390/1494768879"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abs.twimg.com/images/themes/theme9/bg.gif" TargetMode="External" /><Relationship Id="rId22" Type="http://schemas.openxmlformats.org/officeDocument/2006/relationships/hyperlink" Target="http://pbs.twimg.com/profile_images/1041152570532618240/AZ1qkeCn_normal.jpg" TargetMode="External" /><Relationship Id="rId23" Type="http://schemas.openxmlformats.org/officeDocument/2006/relationships/hyperlink" Target="http://pbs.twimg.com/profile_images/865457555505532929/C7c-MMKF_normal.jpg" TargetMode="External" /><Relationship Id="rId24" Type="http://schemas.openxmlformats.org/officeDocument/2006/relationships/hyperlink" Target="http://pbs.twimg.com/profile_images/948297117734285312/9_y1YYkE_normal.jpg" TargetMode="External" /><Relationship Id="rId25" Type="http://schemas.openxmlformats.org/officeDocument/2006/relationships/hyperlink" Target="http://pbs.twimg.com/profile_images/702663532920197121/6aBlYSqG_normal.jpg" TargetMode="External" /><Relationship Id="rId26" Type="http://schemas.openxmlformats.org/officeDocument/2006/relationships/hyperlink" Target="http://pbs.twimg.com/profile_images/1189600680496918529/5nEs4ktf_normal.jpg" TargetMode="External" /><Relationship Id="rId27" Type="http://schemas.openxmlformats.org/officeDocument/2006/relationships/hyperlink" Target="http://pbs.twimg.com/profile_images/931156393108885504/EqEMtLhM_normal.jpg" TargetMode="External" /><Relationship Id="rId28" Type="http://schemas.openxmlformats.org/officeDocument/2006/relationships/hyperlink" Target="http://pbs.twimg.com/profile_images/1057847722856706048/kQbJhPGl_normal.jpg" TargetMode="External" /><Relationship Id="rId29" Type="http://schemas.openxmlformats.org/officeDocument/2006/relationships/hyperlink" Target="http://pbs.twimg.com/profile_images/863749394562207744/-CgHW0wm_normal.jpg" TargetMode="External" /><Relationship Id="rId30" Type="http://schemas.openxmlformats.org/officeDocument/2006/relationships/hyperlink" Target="https://twitter.com/seanpatoshea" TargetMode="External" /><Relationship Id="rId31" Type="http://schemas.openxmlformats.org/officeDocument/2006/relationships/hyperlink" Target="https://twitter.com/honeymoonbrew" TargetMode="External" /><Relationship Id="rId32" Type="http://schemas.openxmlformats.org/officeDocument/2006/relationships/hyperlink" Target="https://twitter.com/abqfoundation" TargetMode="External" /><Relationship Id="rId33" Type="http://schemas.openxmlformats.org/officeDocument/2006/relationships/hyperlink" Target="https://twitter.com/kombuchabrewers" TargetMode="External" /><Relationship Id="rId34" Type="http://schemas.openxmlformats.org/officeDocument/2006/relationships/hyperlink" Target="https://twitter.com/nmbrewersguild" TargetMode="External" /><Relationship Id="rId35" Type="http://schemas.openxmlformats.org/officeDocument/2006/relationships/hyperlink" Target="https://twitter.com/ft" TargetMode="External" /><Relationship Id="rId36" Type="http://schemas.openxmlformats.org/officeDocument/2006/relationships/hyperlink" Target="https://twitter.com/boochnews" TargetMode="External" /><Relationship Id="rId37" Type="http://schemas.openxmlformats.org/officeDocument/2006/relationships/hyperlink" Target="https://twitter.com/anneamadden" TargetMode="External" /><Relationship Id="rId38" Type="http://schemas.openxmlformats.org/officeDocument/2006/relationships/comments" Target="../comments2.xml" /><Relationship Id="rId39" Type="http://schemas.openxmlformats.org/officeDocument/2006/relationships/vmlDrawing" Target="../drawings/vmlDrawing2.vml" /><Relationship Id="rId40" Type="http://schemas.openxmlformats.org/officeDocument/2006/relationships/table" Target="../tables/table2.xml" /><Relationship Id="rId41" Type="http://schemas.openxmlformats.org/officeDocument/2006/relationships/drawing" Target="../drawings/drawing1.xml" /><Relationship Id="rId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mailchi.mp/kombuchabrewers/hello-may-4806957" TargetMode="External" /><Relationship Id="rId2" Type="http://schemas.openxmlformats.org/officeDocument/2006/relationships/hyperlink" Target="https://mailchi.mp/kombuchabrewers/hello-may-4806957"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390</v>
      </c>
      <c r="BD2" s="13" t="s">
        <v>396</v>
      </c>
      <c r="BE2" s="13" t="s">
        <v>397</v>
      </c>
      <c r="BF2" s="67" t="s">
        <v>509</v>
      </c>
      <c r="BG2" s="67" t="s">
        <v>510</v>
      </c>
      <c r="BH2" s="67" t="s">
        <v>511</v>
      </c>
      <c r="BI2" s="67" t="s">
        <v>512</v>
      </c>
      <c r="BJ2" s="67" t="s">
        <v>513</v>
      </c>
      <c r="BK2" s="67" t="s">
        <v>514</v>
      </c>
      <c r="BL2" s="67" t="s">
        <v>515</v>
      </c>
      <c r="BM2" s="67" t="s">
        <v>516</v>
      </c>
      <c r="BN2" s="67" t="s">
        <v>517</v>
      </c>
    </row>
    <row r="3" spans="1:66" ht="15" customHeight="1">
      <c r="A3" s="84" t="s">
        <v>214</v>
      </c>
      <c r="B3" s="84" t="s">
        <v>215</v>
      </c>
      <c r="C3" s="53" t="s">
        <v>553</v>
      </c>
      <c r="D3" s="54">
        <v>3</v>
      </c>
      <c r="E3" s="65" t="s">
        <v>132</v>
      </c>
      <c r="F3" s="55">
        <v>32</v>
      </c>
      <c r="G3" s="53"/>
      <c r="H3" s="57"/>
      <c r="I3" s="56"/>
      <c r="J3" s="56"/>
      <c r="K3" s="36" t="s">
        <v>65</v>
      </c>
      <c r="L3" s="62">
        <v>3</v>
      </c>
      <c r="M3" s="62"/>
      <c r="N3" s="63"/>
      <c r="O3" s="85" t="s">
        <v>222</v>
      </c>
      <c r="P3" s="87">
        <v>43826.82168981482</v>
      </c>
      <c r="Q3" s="85" t="s">
        <v>225</v>
      </c>
      <c r="R3" s="85"/>
      <c r="S3" s="85"/>
      <c r="T3" s="85" t="s">
        <v>231</v>
      </c>
      <c r="U3" s="85"/>
      <c r="V3" s="90" t="s">
        <v>234</v>
      </c>
      <c r="W3" s="87">
        <v>43826.82168981482</v>
      </c>
      <c r="X3" s="91">
        <v>43826</v>
      </c>
      <c r="Y3" s="93" t="s">
        <v>237</v>
      </c>
      <c r="Z3" s="90" t="s">
        <v>243</v>
      </c>
      <c r="AA3" s="85"/>
      <c r="AB3" s="85"/>
      <c r="AC3" s="93" t="s">
        <v>249</v>
      </c>
      <c r="AD3" s="85"/>
      <c r="AE3" s="85" t="b">
        <v>0</v>
      </c>
      <c r="AF3" s="85">
        <v>0</v>
      </c>
      <c r="AG3" s="93" t="s">
        <v>257</v>
      </c>
      <c r="AH3" s="85" t="b">
        <v>0</v>
      </c>
      <c r="AI3" s="85" t="s">
        <v>260</v>
      </c>
      <c r="AJ3" s="85"/>
      <c r="AK3" s="93" t="s">
        <v>257</v>
      </c>
      <c r="AL3" s="85" t="b">
        <v>0</v>
      </c>
      <c r="AM3" s="85">
        <v>2</v>
      </c>
      <c r="AN3" s="93" t="s">
        <v>250</v>
      </c>
      <c r="AO3" s="85" t="s">
        <v>261</v>
      </c>
      <c r="AP3" s="85" t="b">
        <v>0</v>
      </c>
      <c r="AQ3" s="93" t="s">
        <v>250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218</v>
      </c>
      <c r="C4" s="53" t="s">
        <v>553</v>
      </c>
      <c r="D4" s="54">
        <v>3</v>
      </c>
      <c r="E4" s="65" t="s">
        <v>132</v>
      </c>
      <c r="F4" s="55">
        <v>32</v>
      </c>
      <c r="G4" s="53"/>
      <c r="H4" s="57"/>
      <c r="I4" s="56"/>
      <c r="J4" s="56"/>
      <c r="K4" s="36" t="s">
        <v>65</v>
      </c>
      <c r="L4" s="83">
        <v>4</v>
      </c>
      <c r="M4" s="83"/>
      <c r="N4" s="63"/>
      <c r="O4" s="86" t="s">
        <v>223</v>
      </c>
      <c r="P4" s="88">
        <v>43826.82168981482</v>
      </c>
      <c r="Q4" s="86" t="s">
        <v>225</v>
      </c>
      <c r="R4" s="86"/>
      <c r="S4" s="86"/>
      <c r="T4" s="86" t="s">
        <v>231</v>
      </c>
      <c r="U4" s="86"/>
      <c r="V4" s="89" t="s">
        <v>234</v>
      </c>
      <c r="W4" s="88">
        <v>43826.82168981482</v>
      </c>
      <c r="X4" s="92">
        <v>43826</v>
      </c>
      <c r="Y4" s="94" t="s">
        <v>237</v>
      </c>
      <c r="Z4" s="89" t="s">
        <v>243</v>
      </c>
      <c r="AA4" s="86"/>
      <c r="AB4" s="86"/>
      <c r="AC4" s="94" t="s">
        <v>249</v>
      </c>
      <c r="AD4" s="86"/>
      <c r="AE4" s="86" t="b">
        <v>0</v>
      </c>
      <c r="AF4" s="86">
        <v>0</v>
      </c>
      <c r="AG4" s="94" t="s">
        <v>257</v>
      </c>
      <c r="AH4" s="86" t="b">
        <v>0</v>
      </c>
      <c r="AI4" s="86" t="s">
        <v>260</v>
      </c>
      <c r="AJ4" s="86"/>
      <c r="AK4" s="94" t="s">
        <v>257</v>
      </c>
      <c r="AL4" s="86" t="b">
        <v>0</v>
      </c>
      <c r="AM4" s="86">
        <v>2</v>
      </c>
      <c r="AN4" s="94" t="s">
        <v>250</v>
      </c>
      <c r="AO4" s="86" t="s">
        <v>261</v>
      </c>
      <c r="AP4" s="86" t="b">
        <v>0</v>
      </c>
      <c r="AQ4" s="94" t="s">
        <v>250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15">
      <c r="A5" s="84" t="s">
        <v>214</v>
      </c>
      <c r="B5" s="84" t="s">
        <v>217</v>
      </c>
      <c r="C5" s="53" t="s">
        <v>553</v>
      </c>
      <c r="D5" s="54">
        <v>3</v>
      </c>
      <c r="E5" s="65" t="s">
        <v>132</v>
      </c>
      <c r="F5" s="55">
        <v>32</v>
      </c>
      <c r="G5" s="53"/>
      <c r="H5" s="57"/>
      <c r="I5" s="56"/>
      <c r="J5" s="56"/>
      <c r="K5" s="36" t="s">
        <v>65</v>
      </c>
      <c r="L5" s="83">
        <v>5</v>
      </c>
      <c r="M5" s="83"/>
      <c r="N5" s="63"/>
      <c r="O5" s="86" t="s">
        <v>223</v>
      </c>
      <c r="P5" s="88">
        <v>43826.82168981482</v>
      </c>
      <c r="Q5" s="86" t="s">
        <v>225</v>
      </c>
      <c r="R5" s="86"/>
      <c r="S5" s="86"/>
      <c r="T5" s="86" t="s">
        <v>231</v>
      </c>
      <c r="U5" s="86"/>
      <c r="V5" s="89" t="s">
        <v>234</v>
      </c>
      <c r="W5" s="88">
        <v>43826.82168981482</v>
      </c>
      <c r="X5" s="92">
        <v>43826</v>
      </c>
      <c r="Y5" s="94" t="s">
        <v>237</v>
      </c>
      <c r="Z5" s="89" t="s">
        <v>243</v>
      </c>
      <c r="AA5" s="86"/>
      <c r="AB5" s="86"/>
      <c r="AC5" s="94" t="s">
        <v>249</v>
      </c>
      <c r="AD5" s="86"/>
      <c r="AE5" s="86" t="b">
        <v>0</v>
      </c>
      <c r="AF5" s="86">
        <v>0</v>
      </c>
      <c r="AG5" s="94" t="s">
        <v>257</v>
      </c>
      <c r="AH5" s="86" t="b">
        <v>0</v>
      </c>
      <c r="AI5" s="86" t="s">
        <v>260</v>
      </c>
      <c r="AJ5" s="86"/>
      <c r="AK5" s="94" t="s">
        <v>257</v>
      </c>
      <c r="AL5" s="86" t="b">
        <v>0</v>
      </c>
      <c r="AM5" s="86">
        <v>2</v>
      </c>
      <c r="AN5" s="94" t="s">
        <v>250</v>
      </c>
      <c r="AO5" s="86" t="s">
        <v>261</v>
      </c>
      <c r="AP5" s="86" t="b">
        <v>0</v>
      </c>
      <c r="AQ5" s="94" t="s">
        <v>250</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1</v>
      </c>
      <c r="BF5" s="51"/>
      <c r="BG5" s="52"/>
      <c r="BH5" s="51"/>
      <c r="BI5" s="52"/>
      <c r="BJ5" s="51"/>
      <c r="BK5" s="52"/>
      <c r="BL5" s="51"/>
      <c r="BM5" s="52"/>
      <c r="BN5" s="51"/>
    </row>
    <row r="6" spans="1:66" ht="15">
      <c r="A6" s="84" t="s">
        <v>214</v>
      </c>
      <c r="B6" s="84" t="s">
        <v>216</v>
      </c>
      <c r="C6" s="53" t="s">
        <v>553</v>
      </c>
      <c r="D6" s="54">
        <v>3</v>
      </c>
      <c r="E6" s="65" t="s">
        <v>132</v>
      </c>
      <c r="F6" s="55">
        <v>32</v>
      </c>
      <c r="G6" s="53"/>
      <c r="H6" s="57"/>
      <c r="I6" s="56"/>
      <c r="J6" s="56"/>
      <c r="K6" s="36" t="s">
        <v>65</v>
      </c>
      <c r="L6" s="83">
        <v>6</v>
      </c>
      <c r="M6" s="83"/>
      <c r="N6" s="63"/>
      <c r="O6" s="86" t="s">
        <v>223</v>
      </c>
      <c r="P6" s="88">
        <v>43826.82168981482</v>
      </c>
      <c r="Q6" s="86" t="s">
        <v>225</v>
      </c>
      <c r="R6" s="86"/>
      <c r="S6" s="86"/>
      <c r="T6" s="86" t="s">
        <v>231</v>
      </c>
      <c r="U6" s="86"/>
      <c r="V6" s="89" t="s">
        <v>234</v>
      </c>
      <c r="W6" s="88">
        <v>43826.82168981482</v>
      </c>
      <c r="X6" s="92">
        <v>43826</v>
      </c>
      <c r="Y6" s="94" t="s">
        <v>237</v>
      </c>
      <c r="Z6" s="89" t="s">
        <v>243</v>
      </c>
      <c r="AA6" s="86"/>
      <c r="AB6" s="86"/>
      <c r="AC6" s="94" t="s">
        <v>249</v>
      </c>
      <c r="AD6" s="86"/>
      <c r="AE6" s="86" t="b">
        <v>0</v>
      </c>
      <c r="AF6" s="86">
        <v>0</v>
      </c>
      <c r="AG6" s="94" t="s">
        <v>257</v>
      </c>
      <c r="AH6" s="86" t="b">
        <v>0</v>
      </c>
      <c r="AI6" s="86" t="s">
        <v>260</v>
      </c>
      <c r="AJ6" s="86"/>
      <c r="AK6" s="94" t="s">
        <v>257</v>
      </c>
      <c r="AL6" s="86" t="b">
        <v>0</v>
      </c>
      <c r="AM6" s="86">
        <v>2</v>
      </c>
      <c r="AN6" s="94" t="s">
        <v>250</v>
      </c>
      <c r="AO6" s="86" t="s">
        <v>261</v>
      </c>
      <c r="AP6" s="86" t="b">
        <v>0</v>
      </c>
      <c r="AQ6" s="94" t="s">
        <v>250</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v>1</v>
      </c>
      <c r="BG6" s="52">
        <v>2.7777777777777777</v>
      </c>
      <c r="BH6" s="51">
        <v>1</v>
      </c>
      <c r="BI6" s="52">
        <v>2.7777777777777777</v>
      </c>
      <c r="BJ6" s="51">
        <v>0</v>
      </c>
      <c r="BK6" s="52">
        <v>0</v>
      </c>
      <c r="BL6" s="51">
        <v>34</v>
      </c>
      <c r="BM6" s="52">
        <v>94.44444444444444</v>
      </c>
      <c r="BN6" s="51">
        <v>36</v>
      </c>
    </row>
    <row r="7" spans="1:66" ht="15">
      <c r="A7" s="84" t="s">
        <v>215</v>
      </c>
      <c r="B7" s="84" t="s">
        <v>218</v>
      </c>
      <c r="C7" s="53" t="s">
        <v>553</v>
      </c>
      <c r="D7" s="54">
        <v>3</v>
      </c>
      <c r="E7" s="65" t="s">
        <v>132</v>
      </c>
      <c r="F7" s="55">
        <v>32</v>
      </c>
      <c r="G7" s="53"/>
      <c r="H7" s="57"/>
      <c r="I7" s="56"/>
      <c r="J7" s="56"/>
      <c r="K7" s="36" t="s">
        <v>65</v>
      </c>
      <c r="L7" s="83">
        <v>7</v>
      </c>
      <c r="M7" s="83"/>
      <c r="N7" s="63"/>
      <c r="O7" s="86" t="s">
        <v>223</v>
      </c>
      <c r="P7" s="88">
        <v>43826.75009259259</v>
      </c>
      <c r="Q7" s="86" t="s">
        <v>225</v>
      </c>
      <c r="R7" s="86"/>
      <c r="S7" s="86"/>
      <c r="T7" s="86" t="s">
        <v>231</v>
      </c>
      <c r="U7" s="89" t="s">
        <v>233</v>
      </c>
      <c r="V7" s="89" t="s">
        <v>233</v>
      </c>
      <c r="W7" s="88">
        <v>43826.75009259259</v>
      </c>
      <c r="X7" s="92">
        <v>43826</v>
      </c>
      <c r="Y7" s="94" t="s">
        <v>238</v>
      </c>
      <c r="Z7" s="89" t="s">
        <v>244</v>
      </c>
      <c r="AA7" s="86"/>
      <c r="AB7" s="86"/>
      <c r="AC7" s="94" t="s">
        <v>250</v>
      </c>
      <c r="AD7" s="86"/>
      <c r="AE7" s="86" t="b">
        <v>0</v>
      </c>
      <c r="AF7" s="86">
        <v>5</v>
      </c>
      <c r="AG7" s="94" t="s">
        <v>257</v>
      </c>
      <c r="AH7" s="86" t="b">
        <v>0</v>
      </c>
      <c r="AI7" s="86" t="s">
        <v>260</v>
      </c>
      <c r="AJ7" s="86"/>
      <c r="AK7" s="94" t="s">
        <v>257</v>
      </c>
      <c r="AL7" s="86" t="b">
        <v>0</v>
      </c>
      <c r="AM7" s="86">
        <v>2</v>
      </c>
      <c r="AN7" s="94" t="s">
        <v>257</v>
      </c>
      <c r="AO7" s="86" t="s">
        <v>262</v>
      </c>
      <c r="AP7" s="86" t="b">
        <v>0</v>
      </c>
      <c r="AQ7" s="94" t="s">
        <v>250</v>
      </c>
      <c r="AR7" s="86" t="s">
        <v>176</v>
      </c>
      <c r="AS7" s="86">
        <v>0</v>
      </c>
      <c r="AT7" s="86">
        <v>0</v>
      </c>
      <c r="AU7" s="86" t="s">
        <v>264</v>
      </c>
      <c r="AV7" s="86" t="s">
        <v>265</v>
      </c>
      <c r="AW7" s="86" t="s">
        <v>266</v>
      </c>
      <c r="AX7" s="86" t="s">
        <v>267</v>
      </c>
      <c r="AY7" s="86" t="s">
        <v>268</v>
      </c>
      <c r="AZ7" s="86" t="s">
        <v>269</v>
      </c>
      <c r="BA7" s="86" t="s">
        <v>270</v>
      </c>
      <c r="BB7" s="89" t="s">
        <v>271</v>
      </c>
      <c r="BC7">
        <v>1</v>
      </c>
      <c r="BD7" s="85" t="str">
        <f>REPLACE(INDEX(GroupVertices[Group],MATCH(Edges[[#This Row],[Vertex 1]],GroupVertices[Vertex],0)),1,1,"")</f>
        <v>2</v>
      </c>
      <c r="BE7" s="85" t="str">
        <f>REPLACE(INDEX(GroupVertices[Group],MATCH(Edges[[#This Row],[Vertex 2]],GroupVertices[Vertex],0)),1,1,"")</f>
        <v>2</v>
      </c>
      <c r="BF7" s="51"/>
      <c r="BG7" s="52"/>
      <c r="BH7" s="51"/>
      <c r="BI7" s="52"/>
      <c r="BJ7" s="51"/>
      <c r="BK7" s="52"/>
      <c r="BL7" s="51"/>
      <c r="BM7" s="52"/>
      <c r="BN7" s="51"/>
    </row>
    <row r="8" spans="1:66" ht="15">
      <c r="A8" s="84" t="s">
        <v>215</v>
      </c>
      <c r="B8" s="84" t="s">
        <v>217</v>
      </c>
      <c r="C8" s="53" t="s">
        <v>553</v>
      </c>
      <c r="D8" s="54">
        <v>3</v>
      </c>
      <c r="E8" s="65" t="s">
        <v>132</v>
      </c>
      <c r="F8" s="55">
        <v>32</v>
      </c>
      <c r="G8" s="53"/>
      <c r="H8" s="57"/>
      <c r="I8" s="56"/>
      <c r="J8" s="56"/>
      <c r="K8" s="36" t="s">
        <v>65</v>
      </c>
      <c r="L8" s="83">
        <v>8</v>
      </c>
      <c r="M8" s="83"/>
      <c r="N8" s="63"/>
      <c r="O8" s="86" t="s">
        <v>223</v>
      </c>
      <c r="P8" s="88">
        <v>43826.75009259259</v>
      </c>
      <c r="Q8" s="86" t="s">
        <v>225</v>
      </c>
      <c r="R8" s="86"/>
      <c r="S8" s="86"/>
      <c r="T8" s="86" t="s">
        <v>231</v>
      </c>
      <c r="U8" s="89" t="s">
        <v>233</v>
      </c>
      <c r="V8" s="89" t="s">
        <v>233</v>
      </c>
      <c r="W8" s="88">
        <v>43826.75009259259</v>
      </c>
      <c r="X8" s="92">
        <v>43826</v>
      </c>
      <c r="Y8" s="94" t="s">
        <v>238</v>
      </c>
      <c r="Z8" s="89" t="s">
        <v>244</v>
      </c>
      <c r="AA8" s="86"/>
      <c r="AB8" s="86"/>
      <c r="AC8" s="94" t="s">
        <v>250</v>
      </c>
      <c r="AD8" s="86"/>
      <c r="AE8" s="86" t="b">
        <v>0</v>
      </c>
      <c r="AF8" s="86">
        <v>5</v>
      </c>
      <c r="AG8" s="94" t="s">
        <v>257</v>
      </c>
      <c r="AH8" s="86" t="b">
        <v>0</v>
      </c>
      <c r="AI8" s="86" t="s">
        <v>260</v>
      </c>
      <c r="AJ8" s="86"/>
      <c r="AK8" s="94" t="s">
        <v>257</v>
      </c>
      <c r="AL8" s="86" t="b">
        <v>0</v>
      </c>
      <c r="AM8" s="86">
        <v>2</v>
      </c>
      <c r="AN8" s="94" t="s">
        <v>257</v>
      </c>
      <c r="AO8" s="86" t="s">
        <v>262</v>
      </c>
      <c r="AP8" s="86" t="b">
        <v>0</v>
      </c>
      <c r="AQ8" s="94" t="s">
        <v>250</v>
      </c>
      <c r="AR8" s="86" t="s">
        <v>176</v>
      </c>
      <c r="AS8" s="86">
        <v>0</v>
      </c>
      <c r="AT8" s="86">
        <v>0</v>
      </c>
      <c r="AU8" s="86" t="s">
        <v>264</v>
      </c>
      <c r="AV8" s="86" t="s">
        <v>265</v>
      </c>
      <c r="AW8" s="86" t="s">
        <v>266</v>
      </c>
      <c r="AX8" s="86" t="s">
        <v>267</v>
      </c>
      <c r="AY8" s="86" t="s">
        <v>268</v>
      </c>
      <c r="AZ8" s="86" t="s">
        <v>269</v>
      </c>
      <c r="BA8" s="86" t="s">
        <v>270</v>
      </c>
      <c r="BB8" s="89" t="s">
        <v>271</v>
      </c>
      <c r="BC8">
        <v>1</v>
      </c>
      <c r="BD8" s="85" t="str">
        <f>REPLACE(INDEX(GroupVertices[Group],MATCH(Edges[[#This Row],[Vertex 1]],GroupVertices[Vertex],0)),1,1,"")</f>
        <v>2</v>
      </c>
      <c r="BE8" s="85" t="str">
        <f>REPLACE(INDEX(GroupVertices[Group],MATCH(Edges[[#This Row],[Vertex 2]],GroupVertices[Vertex],0)),1,1,"")</f>
        <v>1</v>
      </c>
      <c r="BF8" s="51"/>
      <c r="BG8" s="52"/>
      <c r="BH8" s="51"/>
      <c r="BI8" s="52"/>
      <c r="BJ8" s="51"/>
      <c r="BK8" s="52"/>
      <c r="BL8" s="51"/>
      <c r="BM8" s="52"/>
      <c r="BN8" s="51"/>
    </row>
    <row r="9" spans="1:66" ht="15">
      <c r="A9" s="84" t="s">
        <v>215</v>
      </c>
      <c r="B9" s="84" t="s">
        <v>216</v>
      </c>
      <c r="C9" s="53" t="s">
        <v>553</v>
      </c>
      <c r="D9" s="54">
        <v>3</v>
      </c>
      <c r="E9" s="65" t="s">
        <v>132</v>
      </c>
      <c r="F9" s="55">
        <v>32</v>
      </c>
      <c r="G9" s="53"/>
      <c r="H9" s="57"/>
      <c r="I9" s="56"/>
      <c r="J9" s="56"/>
      <c r="K9" s="36" t="s">
        <v>66</v>
      </c>
      <c r="L9" s="83">
        <v>9</v>
      </c>
      <c r="M9" s="83"/>
      <c r="N9" s="63"/>
      <c r="O9" s="86" t="s">
        <v>223</v>
      </c>
      <c r="P9" s="88">
        <v>43826.75009259259</v>
      </c>
      <c r="Q9" s="86" t="s">
        <v>225</v>
      </c>
      <c r="R9" s="86"/>
      <c r="S9" s="86"/>
      <c r="T9" s="86" t="s">
        <v>231</v>
      </c>
      <c r="U9" s="89" t="s">
        <v>233</v>
      </c>
      <c r="V9" s="89" t="s">
        <v>233</v>
      </c>
      <c r="W9" s="88">
        <v>43826.75009259259</v>
      </c>
      <c r="X9" s="92">
        <v>43826</v>
      </c>
      <c r="Y9" s="94" t="s">
        <v>238</v>
      </c>
      <c r="Z9" s="89" t="s">
        <v>244</v>
      </c>
      <c r="AA9" s="86"/>
      <c r="AB9" s="86"/>
      <c r="AC9" s="94" t="s">
        <v>250</v>
      </c>
      <c r="AD9" s="86"/>
      <c r="AE9" s="86" t="b">
        <v>0</v>
      </c>
      <c r="AF9" s="86">
        <v>5</v>
      </c>
      <c r="AG9" s="94" t="s">
        <v>257</v>
      </c>
      <c r="AH9" s="86" t="b">
        <v>0</v>
      </c>
      <c r="AI9" s="86" t="s">
        <v>260</v>
      </c>
      <c r="AJ9" s="86"/>
      <c r="AK9" s="94" t="s">
        <v>257</v>
      </c>
      <c r="AL9" s="86" t="b">
        <v>0</v>
      </c>
      <c r="AM9" s="86">
        <v>2</v>
      </c>
      <c r="AN9" s="94" t="s">
        <v>257</v>
      </c>
      <c r="AO9" s="86" t="s">
        <v>262</v>
      </c>
      <c r="AP9" s="86" t="b">
        <v>0</v>
      </c>
      <c r="AQ9" s="94" t="s">
        <v>250</v>
      </c>
      <c r="AR9" s="86" t="s">
        <v>176</v>
      </c>
      <c r="AS9" s="86">
        <v>0</v>
      </c>
      <c r="AT9" s="86">
        <v>0</v>
      </c>
      <c r="AU9" s="86" t="s">
        <v>264</v>
      </c>
      <c r="AV9" s="86" t="s">
        <v>265</v>
      </c>
      <c r="AW9" s="86" t="s">
        <v>266</v>
      </c>
      <c r="AX9" s="86" t="s">
        <v>267</v>
      </c>
      <c r="AY9" s="86" t="s">
        <v>268</v>
      </c>
      <c r="AZ9" s="86" t="s">
        <v>269</v>
      </c>
      <c r="BA9" s="86" t="s">
        <v>270</v>
      </c>
      <c r="BB9" s="89" t="s">
        <v>271</v>
      </c>
      <c r="BC9">
        <v>1</v>
      </c>
      <c r="BD9" s="85" t="str">
        <f>REPLACE(INDEX(GroupVertices[Group],MATCH(Edges[[#This Row],[Vertex 1]],GroupVertices[Vertex],0)),1,1,"")</f>
        <v>2</v>
      </c>
      <c r="BE9" s="85" t="str">
        <f>REPLACE(INDEX(GroupVertices[Group],MATCH(Edges[[#This Row],[Vertex 2]],GroupVertices[Vertex],0)),1,1,"")</f>
        <v>2</v>
      </c>
      <c r="BF9" s="51">
        <v>1</v>
      </c>
      <c r="BG9" s="52">
        <v>2.7777777777777777</v>
      </c>
      <c r="BH9" s="51">
        <v>1</v>
      </c>
      <c r="BI9" s="52">
        <v>2.7777777777777777</v>
      </c>
      <c r="BJ9" s="51">
        <v>0</v>
      </c>
      <c r="BK9" s="52">
        <v>0</v>
      </c>
      <c r="BL9" s="51">
        <v>34</v>
      </c>
      <c r="BM9" s="52">
        <v>94.44444444444444</v>
      </c>
      <c r="BN9" s="51">
        <v>36</v>
      </c>
    </row>
    <row r="10" spans="1:66" ht="15">
      <c r="A10" s="84" t="s">
        <v>216</v>
      </c>
      <c r="B10" s="84" t="s">
        <v>215</v>
      </c>
      <c r="C10" s="53" t="s">
        <v>553</v>
      </c>
      <c r="D10" s="54">
        <v>3</v>
      </c>
      <c r="E10" s="65" t="s">
        <v>132</v>
      </c>
      <c r="F10" s="55">
        <v>32</v>
      </c>
      <c r="G10" s="53"/>
      <c r="H10" s="57"/>
      <c r="I10" s="56"/>
      <c r="J10" s="56"/>
      <c r="K10" s="36" t="s">
        <v>66</v>
      </c>
      <c r="L10" s="83">
        <v>10</v>
      </c>
      <c r="M10" s="83"/>
      <c r="N10" s="63"/>
      <c r="O10" s="86" t="s">
        <v>222</v>
      </c>
      <c r="P10" s="88">
        <v>43827.63695601852</v>
      </c>
      <c r="Q10" s="86" t="s">
        <v>225</v>
      </c>
      <c r="R10" s="86"/>
      <c r="S10" s="86"/>
      <c r="T10" s="86" t="s">
        <v>231</v>
      </c>
      <c r="U10" s="86"/>
      <c r="V10" s="89" t="s">
        <v>235</v>
      </c>
      <c r="W10" s="88">
        <v>43827.63695601852</v>
      </c>
      <c r="X10" s="92">
        <v>43827</v>
      </c>
      <c r="Y10" s="94" t="s">
        <v>239</v>
      </c>
      <c r="Z10" s="89" t="s">
        <v>245</v>
      </c>
      <c r="AA10" s="86"/>
      <c r="AB10" s="86"/>
      <c r="AC10" s="94" t="s">
        <v>251</v>
      </c>
      <c r="AD10" s="86"/>
      <c r="AE10" s="86" t="b">
        <v>0</v>
      </c>
      <c r="AF10" s="86">
        <v>0</v>
      </c>
      <c r="AG10" s="94" t="s">
        <v>257</v>
      </c>
      <c r="AH10" s="86" t="b">
        <v>0</v>
      </c>
      <c r="AI10" s="86" t="s">
        <v>260</v>
      </c>
      <c r="AJ10" s="86"/>
      <c r="AK10" s="94" t="s">
        <v>257</v>
      </c>
      <c r="AL10" s="86" t="b">
        <v>0</v>
      </c>
      <c r="AM10" s="86">
        <v>2</v>
      </c>
      <c r="AN10" s="94" t="s">
        <v>250</v>
      </c>
      <c r="AO10" s="86" t="s">
        <v>262</v>
      </c>
      <c r="AP10" s="86" t="b">
        <v>0</v>
      </c>
      <c r="AQ10" s="94" t="s">
        <v>250</v>
      </c>
      <c r="AR10" s="86" t="s">
        <v>176</v>
      </c>
      <c r="AS10" s="86">
        <v>0</v>
      </c>
      <c r="AT10" s="86">
        <v>0</v>
      </c>
      <c r="AU10" s="86"/>
      <c r="AV10" s="86"/>
      <c r="AW10" s="86"/>
      <c r="AX10" s="86"/>
      <c r="AY10" s="86"/>
      <c r="AZ10" s="86"/>
      <c r="BA10" s="86"/>
      <c r="BB10" s="86"/>
      <c r="BC10">
        <v>1</v>
      </c>
      <c r="BD10" s="85" t="str">
        <f>REPLACE(INDEX(GroupVertices[Group],MATCH(Edges[[#This Row],[Vertex 1]],GroupVertices[Vertex],0)),1,1,"")</f>
        <v>2</v>
      </c>
      <c r="BE10" s="85" t="str">
        <f>REPLACE(INDEX(GroupVertices[Group],MATCH(Edges[[#This Row],[Vertex 2]],GroupVertices[Vertex],0)),1,1,"")</f>
        <v>2</v>
      </c>
      <c r="BF10" s="51"/>
      <c r="BG10" s="52"/>
      <c r="BH10" s="51"/>
      <c r="BI10" s="52"/>
      <c r="BJ10" s="51"/>
      <c r="BK10" s="52"/>
      <c r="BL10" s="51"/>
      <c r="BM10" s="52"/>
      <c r="BN10" s="51"/>
    </row>
    <row r="11" spans="1:66" ht="15">
      <c r="A11" s="84" t="s">
        <v>216</v>
      </c>
      <c r="B11" s="84" t="s">
        <v>218</v>
      </c>
      <c r="C11" s="53" t="s">
        <v>553</v>
      </c>
      <c r="D11" s="54">
        <v>3</v>
      </c>
      <c r="E11" s="65" t="s">
        <v>132</v>
      </c>
      <c r="F11" s="55">
        <v>32</v>
      </c>
      <c r="G11" s="53"/>
      <c r="H11" s="57"/>
      <c r="I11" s="56"/>
      <c r="J11" s="56"/>
      <c r="K11" s="36" t="s">
        <v>65</v>
      </c>
      <c r="L11" s="83">
        <v>11</v>
      </c>
      <c r="M11" s="83"/>
      <c r="N11" s="63"/>
      <c r="O11" s="86" t="s">
        <v>223</v>
      </c>
      <c r="P11" s="88">
        <v>43827.63695601852</v>
      </c>
      <c r="Q11" s="86" t="s">
        <v>225</v>
      </c>
      <c r="R11" s="86"/>
      <c r="S11" s="86"/>
      <c r="T11" s="86" t="s">
        <v>231</v>
      </c>
      <c r="U11" s="86"/>
      <c r="V11" s="89" t="s">
        <v>235</v>
      </c>
      <c r="W11" s="88">
        <v>43827.63695601852</v>
      </c>
      <c r="X11" s="92">
        <v>43827</v>
      </c>
      <c r="Y11" s="94" t="s">
        <v>239</v>
      </c>
      <c r="Z11" s="89" t="s">
        <v>245</v>
      </c>
      <c r="AA11" s="86"/>
      <c r="AB11" s="86"/>
      <c r="AC11" s="94" t="s">
        <v>251</v>
      </c>
      <c r="AD11" s="86"/>
      <c r="AE11" s="86" t="b">
        <v>0</v>
      </c>
      <c r="AF11" s="86">
        <v>0</v>
      </c>
      <c r="AG11" s="94" t="s">
        <v>257</v>
      </c>
      <c r="AH11" s="86" t="b">
        <v>0</v>
      </c>
      <c r="AI11" s="86" t="s">
        <v>260</v>
      </c>
      <c r="AJ11" s="86"/>
      <c r="AK11" s="94" t="s">
        <v>257</v>
      </c>
      <c r="AL11" s="86" t="b">
        <v>0</v>
      </c>
      <c r="AM11" s="86">
        <v>2</v>
      </c>
      <c r="AN11" s="94" t="s">
        <v>250</v>
      </c>
      <c r="AO11" s="86" t="s">
        <v>262</v>
      </c>
      <c r="AP11" s="86" t="b">
        <v>0</v>
      </c>
      <c r="AQ11" s="94" t="s">
        <v>250</v>
      </c>
      <c r="AR11" s="86" t="s">
        <v>176</v>
      </c>
      <c r="AS11" s="86">
        <v>0</v>
      </c>
      <c r="AT11" s="86">
        <v>0</v>
      </c>
      <c r="AU11" s="86"/>
      <c r="AV11" s="86"/>
      <c r="AW11" s="86"/>
      <c r="AX11" s="86"/>
      <c r="AY11" s="86"/>
      <c r="AZ11" s="86"/>
      <c r="BA11" s="86"/>
      <c r="BB11" s="86"/>
      <c r="BC11">
        <v>1</v>
      </c>
      <c r="BD11" s="85" t="str">
        <f>REPLACE(INDEX(GroupVertices[Group],MATCH(Edges[[#This Row],[Vertex 1]],GroupVertices[Vertex],0)),1,1,"")</f>
        <v>2</v>
      </c>
      <c r="BE11" s="85" t="str">
        <f>REPLACE(INDEX(GroupVertices[Group],MATCH(Edges[[#This Row],[Vertex 2]],GroupVertices[Vertex],0)),1,1,"")</f>
        <v>2</v>
      </c>
      <c r="BF11" s="51"/>
      <c r="BG11" s="52"/>
      <c r="BH11" s="51"/>
      <c r="BI11" s="52"/>
      <c r="BJ11" s="51"/>
      <c r="BK11" s="52"/>
      <c r="BL11" s="51"/>
      <c r="BM11" s="52"/>
      <c r="BN11" s="51"/>
    </row>
    <row r="12" spans="1:66" ht="15">
      <c r="A12" s="84" t="s">
        <v>216</v>
      </c>
      <c r="B12" s="84" t="s">
        <v>217</v>
      </c>
      <c r="C12" s="53" t="s">
        <v>553</v>
      </c>
      <c r="D12" s="54">
        <v>3</v>
      </c>
      <c r="E12" s="65" t="s">
        <v>132</v>
      </c>
      <c r="F12" s="55">
        <v>32</v>
      </c>
      <c r="G12" s="53"/>
      <c r="H12" s="57"/>
      <c r="I12" s="56"/>
      <c r="J12" s="56"/>
      <c r="K12" s="36" t="s">
        <v>65</v>
      </c>
      <c r="L12" s="83">
        <v>12</v>
      </c>
      <c r="M12" s="83"/>
      <c r="N12" s="63"/>
      <c r="O12" s="86" t="s">
        <v>223</v>
      </c>
      <c r="P12" s="88">
        <v>43827.63695601852</v>
      </c>
      <c r="Q12" s="86" t="s">
        <v>225</v>
      </c>
      <c r="R12" s="86"/>
      <c r="S12" s="86"/>
      <c r="T12" s="86" t="s">
        <v>231</v>
      </c>
      <c r="U12" s="86"/>
      <c r="V12" s="89" t="s">
        <v>235</v>
      </c>
      <c r="W12" s="88">
        <v>43827.63695601852</v>
      </c>
      <c r="X12" s="92">
        <v>43827</v>
      </c>
      <c r="Y12" s="94" t="s">
        <v>239</v>
      </c>
      <c r="Z12" s="89" t="s">
        <v>245</v>
      </c>
      <c r="AA12" s="86"/>
      <c r="AB12" s="86"/>
      <c r="AC12" s="94" t="s">
        <v>251</v>
      </c>
      <c r="AD12" s="86"/>
      <c r="AE12" s="86" t="b">
        <v>0</v>
      </c>
      <c r="AF12" s="86">
        <v>0</v>
      </c>
      <c r="AG12" s="94" t="s">
        <v>257</v>
      </c>
      <c r="AH12" s="86" t="b">
        <v>0</v>
      </c>
      <c r="AI12" s="86" t="s">
        <v>260</v>
      </c>
      <c r="AJ12" s="86"/>
      <c r="AK12" s="94" t="s">
        <v>257</v>
      </c>
      <c r="AL12" s="86" t="b">
        <v>0</v>
      </c>
      <c r="AM12" s="86">
        <v>2</v>
      </c>
      <c r="AN12" s="94" t="s">
        <v>250</v>
      </c>
      <c r="AO12" s="86" t="s">
        <v>262</v>
      </c>
      <c r="AP12" s="86" t="b">
        <v>0</v>
      </c>
      <c r="AQ12" s="94" t="s">
        <v>250</v>
      </c>
      <c r="AR12" s="86" t="s">
        <v>176</v>
      </c>
      <c r="AS12" s="86">
        <v>0</v>
      </c>
      <c r="AT12" s="86">
        <v>0</v>
      </c>
      <c r="AU12" s="86"/>
      <c r="AV12" s="86"/>
      <c r="AW12" s="86"/>
      <c r="AX12" s="86"/>
      <c r="AY12" s="86"/>
      <c r="AZ12" s="86"/>
      <c r="BA12" s="86"/>
      <c r="BB12" s="86"/>
      <c r="BC12">
        <v>1</v>
      </c>
      <c r="BD12" s="85" t="str">
        <f>REPLACE(INDEX(GroupVertices[Group],MATCH(Edges[[#This Row],[Vertex 1]],GroupVertices[Vertex],0)),1,1,"")</f>
        <v>2</v>
      </c>
      <c r="BE12" s="85" t="str">
        <f>REPLACE(INDEX(GroupVertices[Group],MATCH(Edges[[#This Row],[Vertex 2]],GroupVertices[Vertex],0)),1,1,"")</f>
        <v>1</v>
      </c>
      <c r="BF12" s="51">
        <v>1</v>
      </c>
      <c r="BG12" s="52">
        <v>2.7777777777777777</v>
      </c>
      <c r="BH12" s="51">
        <v>1</v>
      </c>
      <c r="BI12" s="52">
        <v>2.7777777777777777</v>
      </c>
      <c r="BJ12" s="51">
        <v>0</v>
      </c>
      <c r="BK12" s="52">
        <v>0</v>
      </c>
      <c r="BL12" s="51">
        <v>34</v>
      </c>
      <c r="BM12" s="52">
        <v>94.44444444444444</v>
      </c>
      <c r="BN12" s="51">
        <v>36</v>
      </c>
    </row>
    <row r="13" spans="1:66" ht="15">
      <c r="A13" s="84" t="s">
        <v>217</v>
      </c>
      <c r="B13" s="84" t="s">
        <v>219</v>
      </c>
      <c r="C13" s="53" t="s">
        <v>553</v>
      </c>
      <c r="D13" s="54">
        <v>3</v>
      </c>
      <c r="E13" s="65" t="s">
        <v>132</v>
      </c>
      <c r="F13" s="55">
        <v>32</v>
      </c>
      <c r="G13" s="53"/>
      <c r="H13" s="57"/>
      <c r="I13" s="56"/>
      <c r="J13" s="56"/>
      <c r="K13" s="36" t="s">
        <v>65</v>
      </c>
      <c r="L13" s="83">
        <v>13</v>
      </c>
      <c r="M13" s="83"/>
      <c r="N13" s="63"/>
      <c r="O13" s="86" t="s">
        <v>223</v>
      </c>
      <c r="P13" s="88">
        <v>43829.02055555556</v>
      </c>
      <c r="Q13" s="86" t="s">
        <v>226</v>
      </c>
      <c r="R13" s="86"/>
      <c r="S13" s="86"/>
      <c r="T13" s="86" t="s">
        <v>232</v>
      </c>
      <c r="U13" s="86"/>
      <c r="V13" s="89" t="s">
        <v>236</v>
      </c>
      <c r="W13" s="88">
        <v>43829.02055555556</v>
      </c>
      <c r="X13" s="92">
        <v>43829</v>
      </c>
      <c r="Y13" s="94" t="s">
        <v>240</v>
      </c>
      <c r="Z13" s="89" t="s">
        <v>246</v>
      </c>
      <c r="AA13" s="86"/>
      <c r="AB13" s="86"/>
      <c r="AC13" s="94" t="s">
        <v>252</v>
      </c>
      <c r="AD13" s="94" t="s">
        <v>255</v>
      </c>
      <c r="AE13" s="86" t="b">
        <v>0</v>
      </c>
      <c r="AF13" s="86">
        <v>0</v>
      </c>
      <c r="AG13" s="94" t="s">
        <v>258</v>
      </c>
      <c r="AH13" s="86" t="b">
        <v>0</v>
      </c>
      <c r="AI13" s="86" t="s">
        <v>260</v>
      </c>
      <c r="AJ13" s="86"/>
      <c r="AK13" s="94" t="s">
        <v>257</v>
      </c>
      <c r="AL13" s="86" t="b">
        <v>0</v>
      </c>
      <c r="AM13" s="86">
        <v>0</v>
      </c>
      <c r="AN13" s="94" t="s">
        <v>257</v>
      </c>
      <c r="AO13" s="86" t="s">
        <v>261</v>
      </c>
      <c r="AP13" s="86" t="b">
        <v>0</v>
      </c>
      <c r="AQ13" s="94" t="s">
        <v>255</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15">
      <c r="A14" s="84" t="s">
        <v>217</v>
      </c>
      <c r="B14" s="84" t="s">
        <v>220</v>
      </c>
      <c r="C14" s="53" t="s">
        <v>553</v>
      </c>
      <c r="D14" s="54">
        <v>3</v>
      </c>
      <c r="E14" s="65" t="s">
        <v>132</v>
      </c>
      <c r="F14" s="55">
        <v>32</v>
      </c>
      <c r="G14" s="53"/>
      <c r="H14" s="57"/>
      <c r="I14" s="56"/>
      <c r="J14" s="56"/>
      <c r="K14" s="36" t="s">
        <v>65</v>
      </c>
      <c r="L14" s="83">
        <v>14</v>
      </c>
      <c r="M14" s="83"/>
      <c r="N14" s="63"/>
      <c r="O14" s="86" t="s">
        <v>224</v>
      </c>
      <c r="P14" s="88">
        <v>43829.02055555556</v>
      </c>
      <c r="Q14" s="86" t="s">
        <v>226</v>
      </c>
      <c r="R14" s="86"/>
      <c r="S14" s="86"/>
      <c r="T14" s="86" t="s">
        <v>232</v>
      </c>
      <c r="U14" s="86"/>
      <c r="V14" s="89" t="s">
        <v>236</v>
      </c>
      <c r="W14" s="88">
        <v>43829.02055555556</v>
      </c>
      <c r="X14" s="92">
        <v>43829</v>
      </c>
      <c r="Y14" s="94" t="s">
        <v>240</v>
      </c>
      <c r="Z14" s="89" t="s">
        <v>246</v>
      </c>
      <c r="AA14" s="86"/>
      <c r="AB14" s="86"/>
      <c r="AC14" s="94" t="s">
        <v>252</v>
      </c>
      <c r="AD14" s="94" t="s">
        <v>255</v>
      </c>
      <c r="AE14" s="86" t="b">
        <v>0</v>
      </c>
      <c r="AF14" s="86">
        <v>0</v>
      </c>
      <c r="AG14" s="94" t="s">
        <v>258</v>
      </c>
      <c r="AH14" s="86" t="b">
        <v>0</v>
      </c>
      <c r="AI14" s="86" t="s">
        <v>260</v>
      </c>
      <c r="AJ14" s="86"/>
      <c r="AK14" s="94" t="s">
        <v>257</v>
      </c>
      <c r="AL14" s="86" t="b">
        <v>0</v>
      </c>
      <c r="AM14" s="86">
        <v>0</v>
      </c>
      <c r="AN14" s="94" t="s">
        <v>257</v>
      </c>
      <c r="AO14" s="86" t="s">
        <v>261</v>
      </c>
      <c r="AP14" s="86" t="b">
        <v>0</v>
      </c>
      <c r="AQ14" s="94" t="s">
        <v>255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v>1</v>
      </c>
      <c r="BG14" s="52">
        <v>9.090909090909092</v>
      </c>
      <c r="BH14" s="51">
        <v>1</v>
      </c>
      <c r="BI14" s="52">
        <v>9.090909090909092</v>
      </c>
      <c r="BJ14" s="51">
        <v>0</v>
      </c>
      <c r="BK14" s="52">
        <v>0</v>
      </c>
      <c r="BL14" s="51">
        <v>9</v>
      </c>
      <c r="BM14" s="52">
        <v>81.81818181818181</v>
      </c>
      <c r="BN14" s="51">
        <v>11</v>
      </c>
    </row>
    <row r="15" spans="1:66" ht="15">
      <c r="A15" s="84" t="s">
        <v>217</v>
      </c>
      <c r="B15" s="84" t="s">
        <v>221</v>
      </c>
      <c r="C15" s="53" t="s">
        <v>553</v>
      </c>
      <c r="D15" s="54">
        <v>3</v>
      </c>
      <c r="E15" s="65" t="s">
        <v>132</v>
      </c>
      <c r="F15" s="55">
        <v>32</v>
      </c>
      <c r="G15" s="53"/>
      <c r="H15" s="57"/>
      <c r="I15" s="56"/>
      <c r="J15" s="56"/>
      <c r="K15" s="36" t="s">
        <v>65</v>
      </c>
      <c r="L15" s="83">
        <v>15</v>
      </c>
      <c r="M15" s="83"/>
      <c r="N15" s="63"/>
      <c r="O15" s="86" t="s">
        <v>224</v>
      </c>
      <c r="P15" s="88">
        <v>43829.020891203705</v>
      </c>
      <c r="Q15" s="86" t="s">
        <v>227</v>
      </c>
      <c r="R15" s="86"/>
      <c r="S15" s="86"/>
      <c r="T15" s="86"/>
      <c r="U15" s="86"/>
      <c r="V15" s="89" t="s">
        <v>236</v>
      </c>
      <c r="W15" s="88">
        <v>43829.020891203705</v>
      </c>
      <c r="X15" s="92">
        <v>43829</v>
      </c>
      <c r="Y15" s="94" t="s">
        <v>241</v>
      </c>
      <c r="Z15" s="89" t="s">
        <v>247</v>
      </c>
      <c r="AA15" s="86"/>
      <c r="AB15" s="86"/>
      <c r="AC15" s="94" t="s">
        <v>253</v>
      </c>
      <c r="AD15" s="94" t="s">
        <v>256</v>
      </c>
      <c r="AE15" s="86" t="b">
        <v>0</v>
      </c>
      <c r="AF15" s="86">
        <v>1</v>
      </c>
      <c r="AG15" s="94" t="s">
        <v>259</v>
      </c>
      <c r="AH15" s="86" t="b">
        <v>0</v>
      </c>
      <c r="AI15" s="86" t="s">
        <v>260</v>
      </c>
      <c r="AJ15" s="86"/>
      <c r="AK15" s="94" t="s">
        <v>257</v>
      </c>
      <c r="AL15" s="86" t="b">
        <v>0</v>
      </c>
      <c r="AM15" s="86">
        <v>0</v>
      </c>
      <c r="AN15" s="94" t="s">
        <v>257</v>
      </c>
      <c r="AO15" s="86" t="s">
        <v>261</v>
      </c>
      <c r="AP15" s="86" t="b">
        <v>0</v>
      </c>
      <c r="AQ15" s="94" t="s">
        <v>256</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33.333333333333336</v>
      </c>
      <c r="BH15" s="51">
        <v>0</v>
      </c>
      <c r="BI15" s="52">
        <v>0</v>
      </c>
      <c r="BJ15" s="51">
        <v>0</v>
      </c>
      <c r="BK15" s="52">
        <v>0</v>
      </c>
      <c r="BL15" s="51">
        <v>2</v>
      </c>
      <c r="BM15" s="52">
        <v>66.66666666666667</v>
      </c>
      <c r="BN15" s="51">
        <v>3</v>
      </c>
    </row>
    <row r="16" spans="1:66" ht="15">
      <c r="A16" s="84" t="s">
        <v>217</v>
      </c>
      <c r="B16" s="84" t="s">
        <v>217</v>
      </c>
      <c r="C16" s="53" t="s">
        <v>553</v>
      </c>
      <c r="D16" s="54">
        <v>3</v>
      </c>
      <c r="E16" s="65" t="s">
        <v>132</v>
      </c>
      <c r="F16" s="55">
        <v>32</v>
      </c>
      <c r="G16" s="53"/>
      <c r="H16" s="57"/>
      <c r="I16" s="56"/>
      <c r="J16" s="56"/>
      <c r="K16" s="36" t="s">
        <v>65</v>
      </c>
      <c r="L16" s="83">
        <v>16</v>
      </c>
      <c r="M16" s="83"/>
      <c r="N16" s="63"/>
      <c r="O16" s="86" t="s">
        <v>176</v>
      </c>
      <c r="P16" s="88">
        <v>43826.33288194444</v>
      </c>
      <c r="Q16" s="86" t="s">
        <v>228</v>
      </c>
      <c r="R16" s="89" t="s">
        <v>229</v>
      </c>
      <c r="S16" s="86" t="s">
        <v>230</v>
      </c>
      <c r="T16" s="86"/>
      <c r="U16" s="86"/>
      <c r="V16" s="89" t="s">
        <v>236</v>
      </c>
      <c r="W16" s="88">
        <v>43826.33288194444</v>
      </c>
      <c r="X16" s="92">
        <v>43826</v>
      </c>
      <c r="Y16" s="94" t="s">
        <v>242</v>
      </c>
      <c r="Z16" s="89" t="s">
        <v>248</v>
      </c>
      <c r="AA16" s="86"/>
      <c r="AB16" s="86"/>
      <c r="AC16" s="94" t="s">
        <v>254</v>
      </c>
      <c r="AD16" s="86"/>
      <c r="AE16" s="86" t="b">
        <v>0</v>
      </c>
      <c r="AF16" s="86">
        <v>0</v>
      </c>
      <c r="AG16" s="94" t="s">
        <v>257</v>
      </c>
      <c r="AH16" s="86" t="b">
        <v>0</v>
      </c>
      <c r="AI16" s="86" t="s">
        <v>260</v>
      </c>
      <c r="AJ16" s="86"/>
      <c r="AK16" s="94" t="s">
        <v>257</v>
      </c>
      <c r="AL16" s="86" t="b">
        <v>0</v>
      </c>
      <c r="AM16" s="86">
        <v>0</v>
      </c>
      <c r="AN16" s="94" t="s">
        <v>257</v>
      </c>
      <c r="AO16" s="86" t="s">
        <v>263</v>
      </c>
      <c r="AP16" s="86" t="b">
        <v>0</v>
      </c>
      <c r="AQ16" s="94" t="s">
        <v>254</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1</v>
      </c>
      <c r="BG16" s="52">
        <v>50</v>
      </c>
      <c r="BH16" s="51">
        <v>0</v>
      </c>
      <c r="BI16" s="52">
        <v>0</v>
      </c>
      <c r="BJ16" s="51">
        <v>0</v>
      </c>
      <c r="BK16" s="52">
        <v>0</v>
      </c>
      <c r="BL16" s="51">
        <v>1</v>
      </c>
      <c r="BM16" s="52">
        <v>50</v>
      </c>
      <c r="BN16" s="51">
        <v>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hyperlinks>
    <hyperlink ref="R16" r:id="rId1" display="https://mailchi.mp/kombuchabrewers/hello-may-4806957"/>
    <hyperlink ref="U7" r:id="rId2" display="https://pbs.twimg.com/media/EMz9vSTWwAUxRmJ.jpg"/>
    <hyperlink ref="U8" r:id="rId3" display="https://pbs.twimg.com/media/EMz9vSTWwAUxRmJ.jpg"/>
    <hyperlink ref="U9" r:id="rId4" display="https://pbs.twimg.com/media/EMz9vSTWwAUxRmJ.jpg"/>
    <hyperlink ref="V3" r:id="rId5" display="http://pbs.twimg.com/profile_images/1041152570532618240/AZ1qkeCn_normal.jpg"/>
    <hyperlink ref="V4" r:id="rId6" display="http://pbs.twimg.com/profile_images/1041152570532618240/AZ1qkeCn_normal.jpg"/>
    <hyperlink ref="V5" r:id="rId7" display="http://pbs.twimg.com/profile_images/1041152570532618240/AZ1qkeCn_normal.jpg"/>
    <hyperlink ref="V6" r:id="rId8" display="http://pbs.twimg.com/profile_images/1041152570532618240/AZ1qkeCn_normal.jpg"/>
    <hyperlink ref="V7" r:id="rId9" display="https://pbs.twimg.com/media/EMz9vSTWwAUxRmJ.jpg"/>
    <hyperlink ref="V8" r:id="rId10" display="https://pbs.twimg.com/media/EMz9vSTWwAUxRmJ.jpg"/>
    <hyperlink ref="V9" r:id="rId11" display="https://pbs.twimg.com/media/EMz9vSTWwAUxRmJ.jpg"/>
    <hyperlink ref="V10" r:id="rId12" display="http://pbs.twimg.com/profile_images/1189600680496918529/5nEs4ktf_normal.jpg"/>
    <hyperlink ref="V11" r:id="rId13" display="http://pbs.twimg.com/profile_images/1189600680496918529/5nEs4ktf_normal.jpg"/>
    <hyperlink ref="V12" r:id="rId14" display="http://pbs.twimg.com/profile_images/1189600680496918529/5nEs4ktf_normal.jpg"/>
    <hyperlink ref="V13" r:id="rId15" display="http://pbs.twimg.com/profile_images/702663532920197121/6aBlYSqG_normal.jpg"/>
    <hyperlink ref="V14" r:id="rId16" display="http://pbs.twimg.com/profile_images/702663532920197121/6aBlYSqG_normal.jpg"/>
    <hyperlink ref="V15" r:id="rId17" display="http://pbs.twimg.com/profile_images/702663532920197121/6aBlYSqG_normal.jpg"/>
    <hyperlink ref="V16" r:id="rId18" display="http://pbs.twimg.com/profile_images/702663532920197121/6aBlYSqG_normal.jpg"/>
    <hyperlink ref="Z3" r:id="rId19" display="https://twitter.com/seanpatoshea/status/1210647343227273216"/>
    <hyperlink ref="Z4" r:id="rId20" display="https://twitter.com/seanpatoshea/status/1210647343227273216"/>
    <hyperlink ref="Z5" r:id="rId21" display="https://twitter.com/seanpatoshea/status/1210647343227273216"/>
    <hyperlink ref="Z6" r:id="rId22" display="https://twitter.com/seanpatoshea/status/1210647343227273216"/>
    <hyperlink ref="Z7" r:id="rId23" display="https://twitter.com/honeymoonbrew/status/1210621400702210054"/>
    <hyperlink ref="Z8" r:id="rId24" display="https://twitter.com/honeymoonbrew/status/1210621400702210054"/>
    <hyperlink ref="Z9" r:id="rId25" display="https://twitter.com/honeymoonbrew/status/1210621400702210054"/>
    <hyperlink ref="Z10" r:id="rId26" display="https://twitter.com/nmbrewersguild/status/1210942786012237825"/>
    <hyperlink ref="Z11" r:id="rId27" display="https://twitter.com/nmbrewersguild/status/1210942786012237825"/>
    <hyperlink ref="Z12" r:id="rId28" display="https://twitter.com/nmbrewersguild/status/1210942786012237825"/>
    <hyperlink ref="Z13" r:id="rId29" display="https://twitter.com/kombuchabrewers/status/1211444188786462720"/>
    <hyperlink ref="Z14" r:id="rId30" display="https://twitter.com/kombuchabrewers/status/1211444188786462720"/>
    <hyperlink ref="Z15" r:id="rId31" display="https://twitter.com/kombuchabrewers/status/1211444308701659136"/>
    <hyperlink ref="Z16" r:id="rId32" display="https://twitter.com/kombuchabrewers/status/1210470207774502912"/>
    <hyperlink ref="BB7" r:id="rId33" display="https://api.twitter.com/1.1/geo/id/71d65c0e6d94efab.json"/>
    <hyperlink ref="BB8" r:id="rId34" display="https://api.twitter.com/1.1/geo/id/71d65c0e6d94efab.json"/>
    <hyperlink ref="BB9" r:id="rId35" display="https://api.twitter.com/1.1/geo/id/71d65c0e6d94efab.json"/>
  </hyperlinks>
  <printOptions/>
  <pageMargins left="0.7" right="0.7" top="0.75" bottom="0.75" header="0.3" footer="0.3"/>
  <pageSetup horizontalDpi="600" verticalDpi="600" orientation="portrait" r:id="rId39"/>
  <legacyDrawing r:id="rId37"/>
  <tableParts>
    <tablePart r:id="rId3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500</v>
      </c>
      <c r="B1" s="13" t="s">
        <v>501</v>
      </c>
      <c r="C1" s="13" t="s">
        <v>494</v>
      </c>
      <c r="D1" s="13" t="s">
        <v>495</v>
      </c>
      <c r="E1" s="13" t="s">
        <v>502</v>
      </c>
      <c r="F1" s="13" t="s">
        <v>144</v>
      </c>
      <c r="G1" s="13" t="s">
        <v>503</v>
      </c>
      <c r="H1" s="13" t="s">
        <v>504</v>
      </c>
      <c r="I1" s="13" t="s">
        <v>505</v>
      </c>
      <c r="J1" s="13" t="s">
        <v>506</v>
      </c>
      <c r="K1" s="13" t="s">
        <v>507</v>
      </c>
      <c r="L1" s="13" t="s">
        <v>508</v>
      </c>
    </row>
    <row r="2" spans="1:12" ht="15">
      <c r="A2" s="93" t="s">
        <v>422</v>
      </c>
      <c r="B2" s="93" t="s">
        <v>423</v>
      </c>
      <c r="C2" s="93">
        <v>3</v>
      </c>
      <c r="D2" s="133">
        <v>0.009030899869919435</v>
      </c>
      <c r="E2" s="133">
        <v>1.4960065988800362</v>
      </c>
      <c r="F2" s="93" t="s">
        <v>496</v>
      </c>
      <c r="G2" s="93" t="b">
        <v>0</v>
      </c>
      <c r="H2" s="93" t="b">
        <v>0</v>
      </c>
      <c r="I2" s="93" t="b">
        <v>0</v>
      </c>
      <c r="J2" s="93" t="b">
        <v>0</v>
      </c>
      <c r="K2" s="93" t="b">
        <v>0</v>
      </c>
      <c r="L2" s="93" t="b">
        <v>0</v>
      </c>
    </row>
    <row r="3" spans="1:12" ht="15">
      <c r="A3" s="93" t="s">
        <v>423</v>
      </c>
      <c r="B3" s="93" t="s">
        <v>424</v>
      </c>
      <c r="C3" s="93">
        <v>3</v>
      </c>
      <c r="D3" s="133">
        <v>0.009030899869919435</v>
      </c>
      <c r="E3" s="133">
        <v>1.4960065988800362</v>
      </c>
      <c r="F3" s="93" t="s">
        <v>496</v>
      </c>
      <c r="G3" s="93" t="b">
        <v>0</v>
      </c>
      <c r="H3" s="93" t="b">
        <v>0</v>
      </c>
      <c r="I3" s="93" t="b">
        <v>0</v>
      </c>
      <c r="J3" s="93" t="b">
        <v>0</v>
      </c>
      <c r="K3" s="93" t="b">
        <v>0</v>
      </c>
      <c r="L3" s="93" t="b">
        <v>0</v>
      </c>
    </row>
    <row r="4" spans="1:12" ht="15">
      <c r="A4" s="93" t="s">
        <v>424</v>
      </c>
      <c r="B4" s="93" t="s">
        <v>425</v>
      </c>
      <c r="C4" s="93">
        <v>3</v>
      </c>
      <c r="D4" s="133">
        <v>0.009030899869919435</v>
      </c>
      <c r="E4" s="133">
        <v>1.4960065988800362</v>
      </c>
      <c r="F4" s="93" t="s">
        <v>496</v>
      </c>
      <c r="G4" s="93" t="b">
        <v>0</v>
      </c>
      <c r="H4" s="93" t="b">
        <v>0</v>
      </c>
      <c r="I4" s="93" t="b">
        <v>0</v>
      </c>
      <c r="J4" s="93" t="b">
        <v>0</v>
      </c>
      <c r="K4" s="93" t="b">
        <v>1</v>
      </c>
      <c r="L4" s="93" t="b">
        <v>0</v>
      </c>
    </row>
    <row r="5" spans="1:12" ht="15">
      <c r="A5" s="93" t="s">
        <v>425</v>
      </c>
      <c r="B5" s="93" t="s">
        <v>428</v>
      </c>
      <c r="C5" s="93">
        <v>3</v>
      </c>
      <c r="D5" s="133">
        <v>0.009030899869919435</v>
      </c>
      <c r="E5" s="133">
        <v>1.4960065988800362</v>
      </c>
      <c r="F5" s="93" t="s">
        <v>496</v>
      </c>
      <c r="G5" s="93" t="b">
        <v>0</v>
      </c>
      <c r="H5" s="93" t="b">
        <v>1</v>
      </c>
      <c r="I5" s="93" t="b">
        <v>0</v>
      </c>
      <c r="J5" s="93" t="b">
        <v>0</v>
      </c>
      <c r="K5" s="93" t="b">
        <v>0</v>
      </c>
      <c r="L5" s="93" t="b">
        <v>0</v>
      </c>
    </row>
    <row r="6" spans="1:12" ht="15">
      <c r="A6" s="93" t="s">
        <v>428</v>
      </c>
      <c r="B6" s="93" t="s">
        <v>429</v>
      </c>
      <c r="C6" s="93">
        <v>3</v>
      </c>
      <c r="D6" s="133">
        <v>0.009030899869919435</v>
      </c>
      <c r="E6" s="133">
        <v>1.4960065988800362</v>
      </c>
      <c r="F6" s="93" t="s">
        <v>496</v>
      </c>
      <c r="G6" s="93" t="b">
        <v>0</v>
      </c>
      <c r="H6" s="93" t="b">
        <v>0</v>
      </c>
      <c r="I6" s="93" t="b">
        <v>0</v>
      </c>
      <c r="J6" s="93" t="b">
        <v>0</v>
      </c>
      <c r="K6" s="93" t="b">
        <v>0</v>
      </c>
      <c r="L6" s="93" t="b">
        <v>0</v>
      </c>
    </row>
    <row r="7" spans="1:12" ht="15">
      <c r="A7" s="93" t="s">
        <v>429</v>
      </c>
      <c r="B7" s="93" t="s">
        <v>430</v>
      </c>
      <c r="C7" s="93">
        <v>3</v>
      </c>
      <c r="D7" s="133">
        <v>0.009030899869919435</v>
      </c>
      <c r="E7" s="133">
        <v>1.4960065988800362</v>
      </c>
      <c r="F7" s="93" t="s">
        <v>496</v>
      </c>
      <c r="G7" s="93" t="b">
        <v>0</v>
      </c>
      <c r="H7" s="93" t="b">
        <v>0</v>
      </c>
      <c r="I7" s="93" t="b">
        <v>0</v>
      </c>
      <c r="J7" s="93" t="b">
        <v>1</v>
      </c>
      <c r="K7" s="93" t="b">
        <v>0</v>
      </c>
      <c r="L7" s="93" t="b">
        <v>0</v>
      </c>
    </row>
    <row r="8" spans="1:12" ht="15">
      <c r="A8" s="93" t="s">
        <v>430</v>
      </c>
      <c r="B8" s="93" t="s">
        <v>431</v>
      </c>
      <c r="C8" s="93">
        <v>3</v>
      </c>
      <c r="D8" s="133">
        <v>0.009030899869919435</v>
      </c>
      <c r="E8" s="133">
        <v>1.4960065988800362</v>
      </c>
      <c r="F8" s="93" t="s">
        <v>496</v>
      </c>
      <c r="G8" s="93" t="b">
        <v>1</v>
      </c>
      <c r="H8" s="93" t="b">
        <v>0</v>
      </c>
      <c r="I8" s="93" t="b">
        <v>0</v>
      </c>
      <c r="J8" s="93" t="b">
        <v>0</v>
      </c>
      <c r="K8" s="93" t="b">
        <v>0</v>
      </c>
      <c r="L8" s="93" t="b">
        <v>0</v>
      </c>
    </row>
    <row r="9" spans="1:12" ht="15">
      <c r="A9" s="93" t="s">
        <v>431</v>
      </c>
      <c r="B9" s="93" t="s">
        <v>432</v>
      </c>
      <c r="C9" s="93">
        <v>3</v>
      </c>
      <c r="D9" s="133">
        <v>0.009030899869919435</v>
      </c>
      <c r="E9" s="133">
        <v>1.4960065988800362</v>
      </c>
      <c r="F9" s="93" t="s">
        <v>496</v>
      </c>
      <c r="G9" s="93" t="b">
        <v>0</v>
      </c>
      <c r="H9" s="93" t="b">
        <v>0</v>
      </c>
      <c r="I9" s="93" t="b">
        <v>0</v>
      </c>
      <c r="J9" s="93" t="b">
        <v>0</v>
      </c>
      <c r="K9" s="93" t="b">
        <v>0</v>
      </c>
      <c r="L9" s="93" t="b">
        <v>0</v>
      </c>
    </row>
    <row r="10" spans="1:12" ht="15">
      <c r="A10" s="93" t="s">
        <v>432</v>
      </c>
      <c r="B10" s="93" t="s">
        <v>479</v>
      </c>
      <c r="C10" s="93">
        <v>3</v>
      </c>
      <c r="D10" s="133">
        <v>0.009030899869919435</v>
      </c>
      <c r="E10" s="133">
        <v>1.4960065988800362</v>
      </c>
      <c r="F10" s="93" t="s">
        <v>496</v>
      </c>
      <c r="G10" s="93" t="b">
        <v>0</v>
      </c>
      <c r="H10" s="93" t="b">
        <v>0</v>
      </c>
      <c r="I10" s="93" t="b">
        <v>0</v>
      </c>
      <c r="J10" s="93" t="b">
        <v>0</v>
      </c>
      <c r="K10" s="93" t="b">
        <v>0</v>
      </c>
      <c r="L10" s="93" t="b">
        <v>0</v>
      </c>
    </row>
    <row r="11" spans="1:12" ht="15">
      <c r="A11" s="93" t="s">
        <v>479</v>
      </c>
      <c r="B11" s="93" t="s">
        <v>421</v>
      </c>
      <c r="C11" s="93">
        <v>3</v>
      </c>
      <c r="D11" s="133">
        <v>0.009030899869919435</v>
      </c>
      <c r="E11" s="133">
        <v>1.1949766032160551</v>
      </c>
      <c r="F11" s="93" t="s">
        <v>496</v>
      </c>
      <c r="G11" s="93" t="b">
        <v>0</v>
      </c>
      <c r="H11" s="93" t="b">
        <v>0</v>
      </c>
      <c r="I11" s="93" t="b">
        <v>0</v>
      </c>
      <c r="J11" s="93" t="b">
        <v>0</v>
      </c>
      <c r="K11" s="93" t="b">
        <v>0</v>
      </c>
      <c r="L11" s="93" t="b">
        <v>0</v>
      </c>
    </row>
    <row r="12" spans="1:12" ht="15">
      <c r="A12" s="93" t="s">
        <v>421</v>
      </c>
      <c r="B12" s="93" t="s">
        <v>480</v>
      </c>
      <c r="C12" s="93">
        <v>3</v>
      </c>
      <c r="D12" s="133">
        <v>0.009030899869919435</v>
      </c>
      <c r="E12" s="133">
        <v>1.1949766032160551</v>
      </c>
      <c r="F12" s="93" t="s">
        <v>496</v>
      </c>
      <c r="G12" s="93" t="b">
        <v>0</v>
      </c>
      <c r="H12" s="93" t="b">
        <v>0</v>
      </c>
      <c r="I12" s="93" t="b">
        <v>0</v>
      </c>
      <c r="J12" s="93" t="b">
        <v>0</v>
      </c>
      <c r="K12" s="93" t="b">
        <v>0</v>
      </c>
      <c r="L12" s="93" t="b">
        <v>0</v>
      </c>
    </row>
    <row r="13" spans="1:12" ht="15">
      <c r="A13" s="93" t="s">
        <v>480</v>
      </c>
      <c r="B13" s="93" t="s">
        <v>481</v>
      </c>
      <c r="C13" s="93">
        <v>3</v>
      </c>
      <c r="D13" s="133">
        <v>0.009030899869919435</v>
      </c>
      <c r="E13" s="133">
        <v>1.4960065988800362</v>
      </c>
      <c r="F13" s="93" t="s">
        <v>496</v>
      </c>
      <c r="G13" s="93" t="b">
        <v>0</v>
      </c>
      <c r="H13" s="93" t="b">
        <v>0</v>
      </c>
      <c r="I13" s="93" t="b">
        <v>0</v>
      </c>
      <c r="J13" s="93" t="b">
        <v>0</v>
      </c>
      <c r="K13" s="93" t="b">
        <v>0</v>
      </c>
      <c r="L13" s="93" t="b">
        <v>0</v>
      </c>
    </row>
    <row r="14" spans="1:12" ht="15">
      <c r="A14" s="93" t="s">
        <v>481</v>
      </c>
      <c r="B14" s="93" t="s">
        <v>482</v>
      </c>
      <c r="C14" s="93">
        <v>3</v>
      </c>
      <c r="D14" s="133">
        <v>0.009030899869919435</v>
      </c>
      <c r="E14" s="133">
        <v>1.4960065988800362</v>
      </c>
      <c r="F14" s="93" t="s">
        <v>496</v>
      </c>
      <c r="G14" s="93" t="b">
        <v>0</v>
      </c>
      <c r="H14" s="93" t="b">
        <v>0</v>
      </c>
      <c r="I14" s="93" t="b">
        <v>0</v>
      </c>
      <c r="J14" s="93" t="b">
        <v>0</v>
      </c>
      <c r="K14" s="93" t="b">
        <v>0</v>
      </c>
      <c r="L14" s="93" t="b">
        <v>0</v>
      </c>
    </row>
    <row r="15" spans="1:12" ht="15">
      <c r="A15" s="93" t="s">
        <v>482</v>
      </c>
      <c r="B15" s="93" t="s">
        <v>483</v>
      </c>
      <c r="C15" s="93">
        <v>3</v>
      </c>
      <c r="D15" s="133">
        <v>0.009030899869919435</v>
      </c>
      <c r="E15" s="133">
        <v>1.4960065988800362</v>
      </c>
      <c r="F15" s="93" t="s">
        <v>496</v>
      </c>
      <c r="G15" s="93" t="b">
        <v>0</v>
      </c>
      <c r="H15" s="93" t="b">
        <v>0</v>
      </c>
      <c r="I15" s="93" t="b">
        <v>0</v>
      </c>
      <c r="J15" s="93" t="b">
        <v>0</v>
      </c>
      <c r="K15" s="93" t="b">
        <v>0</v>
      </c>
      <c r="L15" s="93" t="b">
        <v>0</v>
      </c>
    </row>
    <row r="16" spans="1:12" ht="15">
      <c r="A16" s="93" t="s">
        <v>483</v>
      </c>
      <c r="B16" s="93" t="s">
        <v>484</v>
      </c>
      <c r="C16" s="93">
        <v>3</v>
      </c>
      <c r="D16" s="133">
        <v>0.009030899869919435</v>
      </c>
      <c r="E16" s="133">
        <v>1.4960065988800362</v>
      </c>
      <c r="F16" s="93" t="s">
        <v>496</v>
      </c>
      <c r="G16" s="93" t="b">
        <v>0</v>
      </c>
      <c r="H16" s="93" t="b">
        <v>0</v>
      </c>
      <c r="I16" s="93" t="b">
        <v>0</v>
      </c>
      <c r="J16" s="93" t="b">
        <v>0</v>
      </c>
      <c r="K16" s="93" t="b">
        <v>0</v>
      </c>
      <c r="L16" s="93" t="b">
        <v>0</v>
      </c>
    </row>
    <row r="17" spans="1:12" ht="15">
      <c r="A17" s="93" t="s">
        <v>484</v>
      </c>
      <c r="B17" s="93" t="s">
        <v>485</v>
      </c>
      <c r="C17" s="93">
        <v>3</v>
      </c>
      <c r="D17" s="133">
        <v>0.009030899869919435</v>
      </c>
      <c r="E17" s="133">
        <v>1.4960065988800362</v>
      </c>
      <c r="F17" s="93" t="s">
        <v>496</v>
      </c>
      <c r="G17" s="93" t="b">
        <v>0</v>
      </c>
      <c r="H17" s="93" t="b">
        <v>0</v>
      </c>
      <c r="I17" s="93" t="b">
        <v>0</v>
      </c>
      <c r="J17" s="93" t="b">
        <v>0</v>
      </c>
      <c r="K17" s="93" t="b">
        <v>0</v>
      </c>
      <c r="L17" s="93" t="b">
        <v>0</v>
      </c>
    </row>
    <row r="18" spans="1:12" ht="15">
      <c r="A18" s="93" t="s">
        <v>485</v>
      </c>
      <c r="B18" s="93" t="s">
        <v>486</v>
      </c>
      <c r="C18" s="93">
        <v>3</v>
      </c>
      <c r="D18" s="133">
        <v>0.009030899869919435</v>
      </c>
      <c r="E18" s="133">
        <v>1.4960065988800362</v>
      </c>
      <c r="F18" s="93" t="s">
        <v>496</v>
      </c>
      <c r="G18" s="93" t="b">
        <v>0</v>
      </c>
      <c r="H18" s="93" t="b">
        <v>0</v>
      </c>
      <c r="I18" s="93" t="b">
        <v>0</v>
      </c>
      <c r="J18" s="93" t="b">
        <v>0</v>
      </c>
      <c r="K18" s="93" t="b">
        <v>0</v>
      </c>
      <c r="L18" s="93" t="b">
        <v>0</v>
      </c>
    </row>
    <row r="19" spans="1:12" ht="15">
      <c r="A19" s="93" t="s">
        <v>486</v>
      </c>
      <c r="B19" s="93" t="s">
        <v>421</v>
      </c>
      <c r="C19" s="93">
        <v>3</v>
      </c>
      <c r="D19" s="133">
        <v>0.009030899869919435</v>
      </c>
      <c r="E19" s="133">
        <v>1.1949766032160551</v>
      </c>
      <c r="F19" s="93" t="s">
        <v>496</v>
      </c>
      <c r="G19" s="93" t="b">
        <v>0</v>
      </c>
      <c r="H19" s="93" t="b">
        <v>0</v>
      </c>
      <c r="I19" s="93" t="b">
        <v>0</v>
      </c>
      <c r="J19" s="93" t="b">
        <v>0</v>
      </c>
      <c r="K19" s="93" t="b">
        <v>0</v>
      </c>
      <c r="L19" s="93" t="b">
        <v>0</v>
      </c>
    </row>
    <row r="20" spans="1:12" ht="15">
      <c r="A20" s="93" t="s">
        <v>421</v>
      </c>
      <c r="B20" s="93" t="s">
        <v>487</v>
      </c>
      <c r="C20" s="93">
        <v>3</v>
      </c>
      <c r="D20" s="133">
        <v>0.009030899869919435</v>
      </c>
      <c r="E20" s="133">
        <v>1.1949766032160551</v>
      </c>
      <c r="F20" s="93" t="s">
        <v>496</v>
      </c>
      <c r="G20" s="93" t="b">
        <v>0</v>
      </c>
      <c r="H20" s="93" t="b">
        <v>0</v>
      </c>
      <c r="I20" s="93" t="b">
        <v>0</v>
      </c>
      <c r="J20" s="93" t="b">
        <v>0</v>
      </c>
      <c r="K20" s="93" t="b">
        <v>0</v>
      </c>
      <c r="L20" s="93" t="b">
        <v>0</v>
      </c>
    </row>
    <row r="21" spans="1:12" ht="15">
      <c r="A21" s="93" t="s">
        <v>487</v>
      </c>
      <c r="B21" s="93" t="s">
        <v>488</v>
      </c>
      <c r="C21" s="93">
        <v>3</v>
      </c>
      <c r="D21" s="133">
        <v>0.009030899869919435</v>
      </c>
      <c r="E21" s="133">
        <v>1.4960065988800362</v>
      </c>
      <c r="F21" s="93" t="s">
        <v>496</v>
      </c>
      <c r="G21" s="93" t="b">
        <v>0</v>
      </c>
      <c r="H21" s="93" t="b">
        <v>0</v>
      </c>
      <c r="I21" s="93" t="b">
        <v>0</v>
      </c>
      <c r="J21" s="93" t="b">
        <v>0</v>
      </c>
      <c r="K21" s="93" t="b">
        <v>0</v>
      </c>
      <c r="L21" s="93" t="b">
        <v>0</v>
      </c>
    </row>
    <row r="22" spans="1:12" ht="15">
      <c r="A22" s="93" t="s">
        <v>488</v>
      </c>
      <c r="B22" s="93" t="s">
        <v>489</v>
      </c>
      <c r="C22" s="93">
        <v>3</v>
      </c>
      <c r="D22" s="133">
        <v>0.009030899869919435</v>
      </c>
      <c r="E22" s="133">
        <v>1.4960065988800362</v>
      </c>
      <c r="F22" s="93" t="s">
        <v>496</v>
      </c>
      <c r="G22" s="93" t="b">
        <v>0</v>
      </c>
      <c r="H22" s="93" t="b">
        <v>0</v>
      </c>
      <c r="I22" s="93" t="b">
        <v>0</v>
      </c>
      <c r="J22" s="93" t="b">
        <v>0</v>
      </c>
      <c r="K22" s="93" t="b">
        <v>0</v>
      </c>
      <c r="L22" s="93" t="b">
        <v>0</v>
      </c>
    </row>
    <row r="23" spans="1:12" ht="15">
      <c r="A23" s="93" t="s">
        <v>489</v>
      </c>
      <c r="B23" s="93" t="s">
        <v>490</v>
      </c>
      <c r="C23" s="93">
        <v>3</v>
      </c>
      <c r="D23" s="133">
        <v>0.009030899869919435</v>
      </c>
      <c r="E23" s="133">
        <v>1.4960065988800362</v>
      </c>
      <c r="F23" s="93" t="s">
        <v>496</v>
      </c>
      <c r="G23" s="93" t="b">
        <v>0</v>
      </c>
      <c r="H23" s="93" t="b">
        <v>0</v>
      </c>
      <c r="I23" s="93" t="b">
        <v>0</v>
      </c>
      <c r="J23" s="93" t="b">
        <v>0</v>
      </c>
      <c r="K23" s="93" t="b">
        <v>0</v>
      </c>
      <c r="L23" s="93" t="b">
        <v>0</v>
      </c>
    </row>
    <row r="24" spans="1:12" ht="15">
      <c r="A24" s="93" t="s">
        <v>490</v>
      </c>
      <c r="B24" s="93" t="s">
        <v>491</v>
      </c>
      <c r="C24" s="93">
        <v>3</v>
      </c>
      <c r="D24" s="133">
        <v>0.009030899869919435</v>
      </c>
      <c r="E24" s="133">
        <v>1.4960065988800362</v>
      </c>
      <c r="F24" s="93" t="s">
        <v>496</v>
      </c>
      <c r="G24" s="93" t="b">
        <v>0</v>
      </c>
      <c r="H24" s="93" t="b">
        <v>0</v>
      </c>
      <c r="I24" s="93" t="b">
        <v>0</v>
      </c>
      <c r="J24" s="93" t="b">
        <v>0</v>
      </c>
      <c r="K24" s="93" t="b">
        <v>0</v>
      </c>
      <c r="L24" s="93" t="b">
        <v>0</v>
      </c>
    </row>
    <row r="25" spans="1:12" ht="15">
      <c r="A25" s="93" t="s">
        <v>491</v>
      </c>
      <c r="B25" s="93" t="s">
        <v>492</v>
      </c>
      <c r="C25" s="93">
        <v>3</v>
      </c>
      <c r="D25" s="133">
        <v>0.009030899869919435</v>
      </c>
      <c r="E25" s="133">
        <v>1.4960065988800362</v>
      </c>
      <c r="F25" s="93" t="s">
        <v>496</v>
      </c>
      <c r="G25" s="93" t="b">
        <v>0</v>
      </c>
      <c r="H25" s="93" t="b">
        <v>0</v>
      </c>
      <c r="I25" s="93" t="b">
        <v>0</v>
      </c>
      <c r="J25" s="93" t="b">
        <v>0</v>
      </c>
      <c r="K25" s="93" t="b">
        <v>0</v>
      </c>
      <c r="L25" s="93" t="b">
        <v>0</v>
      </c>
    </row>
    <row r="26" spans="1:12" ht="15">
      <c r="A26" s="93" t="s">
        <v>492</v>
      </c>
      <c r="B26" s="93" t="s">
        <v>493</v>
      </c>
      <c r="C26" s="93">
        <v>3</v>
      </c>
      <c r="D26" s="133">
        <v>0.009030899869919435</v>
      </c>
      <c r="E26" s="133">
        <v>1.4960065988800362</v>
      </c>
      <c r="F26" s="93" t="s">
        <v>496</v>
      </c>
      <c r="G26" s="93" t="b">
        <v>0</v>
      </c>
      <c r="H26" s="93" t="b">
        <v>0</v>
      </c>
      <c r="I26" s="93" t="b">
        <v>0</v>
      </c>
      <c r="J26" s="93" t="b">
        <v>0</v>
      </c>
      <c r="K26" s="93" t="b">
        <v>0</v>
      </c>
      <c r="L26" s="93" t="b">
        <v>0</v>
      </c>
    </row>
    <row r="27" spans="1:12" ht="15">
      <c r="A27" s="93" t="s">
        <v>493</v>
      </c>
      <c r="B27" s="93" t="s">
        <v>216</v>
      </c>
      <c r="C27" s="93">
        <v>3</v>
      </c>
      <c r="D27" s="133">
        <v>0.009030899869919435</v>
      </c>
      <c r="E27" s="133">
        <v>1.4960065988800362</v>
      </c>
      <c r="F27" s="93" t="s">
        <v>496</v>
      </c>
      <c r="G27" s="93" t="b">
        <v>0</v>
      </c>
      <c r="H27" s="93" t="b">
        <v>0</v>
      </c>
      <c r="I27" s="93" t="b">
        <v>0</v>
      </c>
      <c r="J27" s="93" t="b">
        <v>0</v>
      </c>
      <c r="K27" s="93" t="b">
        <v>0</v>
      </c>
      <c r="L27" s="93" t="b">
        <v>0</v>
      </c>
    </row>
    <row r="28" spans="1:12" ht="15">
      <c r="A28" s="93" t="s">
        <v>216</v>
      </c>
      <c r="B28" s="93" t="s">
        <v>217</v>
      </c>
      <c r="C28" s="93">
        <v>3</v>
      </c>
      <c r="D28" s="133">
        <v>0.009030899869919435</v>
      </c>
      <c r="E28" s="133">
        <v>1.4960065988800362</v>
      </c>
      <c r="F28" s="93" t="s">
        <v>496</v>
      </c>
      <c r="G28" s="93" t="b">
        <v>0</v>
      </c>
      <c r="H28" s="93" t="b">
        <v>0</v>
      </c>
      <c r="I28" s="93" t="b">
        <v>0</v>
      </c>
      <c r="J28" s="93" t="b">
        <v>0</v>
      </c>
      <c r="K28" s="93" t="b">
        <v>0</v>
      </c>
      <c r="L28" s="93" t="b">
        <v>0</v>
      </c>
    </row>
    <row r="29" spans="1:12" ht="15">
      <c r="A29" s="93" t="s">
        <v>217</v>
      </c>
      <c r="B29" s="93" t="s">
        <v>218</v>
      </c>
      <c r="C29" s="93">
        <v>3</v>
      </c>
      <c r="D29" s="133">
        <v>0.009030899869919435</v>
      </c>
      <c r="E29" s="133">
        <v>1.4960065988800362</v>
      </c>
      <c r="F29" s="93" t="s">
        <v>496</v>
      </c>
      <c r="G29" s="93" t="b">
        <v>0</v>
      </c>
      <c r="H29" s="93" t="b">
        <v>0</v>
      </c>
      <c r="I29" s="93" t="b">
        <v>0</v>
      </c>
      <c r="J29" s="93" t="b">
        <v>0</v>
      </c>
      <c r="K29" s="93" t="b">
        <v>0</v>
      </c>
      <c r="L29" s="93" t="b">
        <v>0</v>
      </c>
    </row>
    <row r="30" spans="1:12" ht="15">
      <c r="A30" s="93" t="s">
        <v>422</v>
      </c>
      <c r="B30" s="93" t="s">
        <v>423</v>
      </c>
      <c r="C30" s="93">
        <v>3</v>
      </c>
      <c r="D30" s="133">
        <v>0</v>
      </c>
      <c r="E30" s="133">
        <v>1.4471580313422192</v>
      </c>
      <c r="F30" s="93" t="s">
        <v>392</v>
      </c>
      <c r="G30" s="93" t="b">
        <v>0</v>
      </c>
      <c r="H30" s="93" t="b">
        <v>0</v>
      </c>
      <c r="I30" s="93" t="b">
        <v>0</v>
      </c>
      <c r="J30" s="93" t="b">
        <v>0</v>
      </c>
      <c r="K30" s="93" t="b">
        <v>0</v>
      </c>
      <c r="L30" s="93" t="b">
        <v>0</v>
      </c>
    </row>
    <row r="31" spans="1:12" ht="15">
      <c r="A31" s="93" t="s">
        <v>423</v>
      </c>
      <c r="B31" s="93" t="s">
        <v>424</v>
      </c>
      <c r="C31" s="93">
        <v>3</v>
      </c>
      <c r="D31" s="133">
        <v>0</v>
      </c>
      <c r="E31" s="133">
        <v>1.4471580313422192</v>
      </c>
      <c r="F31" s="93" t="s">
        <v>392</v>
      </c>
      <c r="G31" s="93" t="b">
        <v>0</v>
      </c>
      <c r="H31" s="93" t="b">
        <v>0</v>
      </c>
      <c r="I31" s="93" t="b">
        <v>0</v>
      </c>
      <c r="J31" s="93" t="b">
        <v>0</v>
      </c>
      <c r="K31" s="93" t="b">
        <v>0</v>
      </c>
      <c r="L31" s="93" t="b">
        <v>0</v>
      </c>
    </row>
    <row r="32" spans="1:12" ht="15">
      <c r="A32" s="93" t="s">
        <v>424</v>
      </c>
      <c r="B32" s="93" t="s">
        <v>425</v>
      </c>
      <c r="C32" s="93">
        <v>3</v>
      </c>
      <c r="D32" s="133">
        <v>0</v>
      </c>
      <c r="E32" s="133">
        <v>1.4471580313422192</v>
      </c>
      <c r="F32" s="93" t="s">
        <v>392</v>
      </c>
      <c r="G32" s="93" t="b">
        <v>0</v>
      </c>
      <c r="H32" s="93" t="b">
        <v>0</v>
      </c>
      <c r="I32" s="93" t="b">
        <v>0</v>
      </c>
      <c r="J32" s="93" t="b">
        <v>0</v>
      </c>
      <c r="K32" s="93" t="b">
        <v>1</v>
      </c>
      <c r="L32" s="93" t="b">
        <v>0</v>
      </c>
    </row>
    <row r="33" spans="1:12" ht="15">
      <c r="A33" s="93" t="s">
        <v>425</v>
      </c>
      <c r="B33" s="93" t="s">
        <v>428</v>
      </c>
      <c r="C33" s="93">
        <v>3</v>
      </c>
      <c r="D33" s="133">
        <v>0</v>
      </c>
      <c r="E33" s="133">
        <v>1.4471580313422192</v>
      </c>
      <c r="F33" s="93" t="s">
        <v>392</v>
      </c>
      <c r="G33" s="93" t="b">
        <v>0</v>
      </c>
      <c r="H33" s="93" t="b">
        <v>1</v>
      </c>
      <c r="I33" s="93" t="b">
        <v>0</v>
      </c>
      <c r="J33" s="93" t="b">
        <v>0</v>
      </c>
      <c r="K33" s="93" t="b">
        <v>0</v>
      </c>
      <c r="L33" s="93" t="b">
        <v>0</v>
      </c>
    </row>
    <row r="34" spans="1:12" ht="15">
      <c r="A34" s="93" t="s">
        <v>428</v>
      </c>
      <c r="B34" s="93" t="s">
        <v>429</v>
      </c>
      <c r="C34" s="93">
        <v>3</v>
      </c>
      <c r="D34" s="133">
        <v>0</v>
      </c>
      <c r="E34" s="133">
        <v>1.4471580313422192</v>
      </c>
      <c r="F34" s="93" t="s">
        <v>392</v>
      </c>
      <c r="G34" s="93" t="b">
        <v>0</v>
      </c>
      <c r="H34" s="93" t="b">
        <v>0</v>
      </c>
      <c r="I34" s="93" t="b">
        <v>0</v>
      </c>
      <c r="J34" s="93" t="b">
        <v>0</v>
      </c>
      <c r="K34" s="93" t="b">
        <v>0</v>
      </c>
      <c r="L34" s="93" t="b">
        <v>0</v>
      </c>
    </row>
    <row r="35" spans="1:12" ht="15">
      <c r="A35" s="93" t="s">
        <v>429</v>
      </c>
      <c r="B35" s="93" t="s">
        <v>430</v>
      </c>
      <c r="C35" s="93">
        <v>3</v>
      </c>
      <c r="D35" s="133">
        <v>0</v>
      </c>
      <c r="E35" s="133">
        <v>1.4471580313422192</v>
      </c>
      <c r="F35" s="93" t="s">
        <v>392</v>
      </c>
      <c r="G35" s="93" t="b">
        <v>0</v>
      </c>
      <c r="H35" s="93" t="b">
        <v>0</v>
      </c>
      <c r="I35" s="93" t="b">
        <v>0</v>
      </c>
      <c r="J35" s="93" t="b">
        <v>1</v>
      </c>
      <c r="K35" s="93" t="b">
        <v>0</v>
      </c>
      <c r="L35" s="93" t="b">
        <v>0</v>
      </c>
    </row>
    <row r="36" spans="1:12" ht="15">
      <c r="A36" s="93" t="s">
        <v>430</v>
      </c>
      <c r="B36" s="93" t="s">
        <v>431</v>
      </c>
      <c r="C36" s="93">
        <v>3</v>
      </c>
      <c r="D36" s="133">
        <v>0</v>
      </c>
      <c r="E36" s="133">
        <v>1.4471580313422192</v>
      </c>
      <c r="F36" s="93" t="s">
        <v>392</v>
      </c>
      <c r="G36" s="93" t="b">
        <v>1</v>
      </c>
      <c r="H36" s="93" t="b">
        <v>0</v>
      </c>
      <c r="I36" s="93" t="b">
        <v>0</v>
      </c>
      <c r="J36" s="93" t="b">
        <v>0</v>
      </c>
      <c r="K36" s="93" t="b">
        <v>0</v>
      </c>
      <c r="L36" s="93" t="b">
        <v>0</v>
      </c>
    </row>
    <row r="37" spans="1:12" ht="15">
      <c r="A37" s="93" t="s">
        <v>431</v>
      </c>
      <c r="B37" s="93" t="s">
        <v>432</v>
      </c>
      <c r="C37" s="93">
        <v>3</v>
      </c>
      <c r="D37" s="133">
        <v>0</v>
      </c>
      <c r="E37" s="133">
        <v>1.4471580313422192</v>
      </c>
      <c r="F37" s="93" t="s">
        <v>392</v>
      </c>
      <c r="G37" s="93" t="b">
        <v>0</v>
      </c>
      <c r="H37" s="93" t="b">
        <v>0</v>
      </c>
      <c r="I37" s="93" t="b">
        <v>0</v>
      </c>
      <c r="J37" s="93" t="b">
        <v>0</v>
      </c>
      <c r="K37" s="93" t="b">
        <v>0</v>
      </c>
      <c r="L37" s="93" t="b">
        <v>0</v>
      </c>
    </row>
    <row r="38" spans="1:12" ht="15">
      <c r="A38" s="93" t="s">
        <v>432</v>
      </c>
      <c r="B38" s="93" t="s">
        <v>479</v>
      </c>
      <c r="C38" s="93">
        <v>3</v>
      </c>
      <c r="D38" s="133">
        <v>0</v>
      </c>
      <c r="E38" s="133">
        <v>1.4471580313422192</v>
      </c>
      <c r="F38" s="93" t="s">
        <v>392</v>
      </c>
      <c r="G38" s="93" t="b">
        <v>0</v>
      </c>
      <c r="H38" s="93" t="b">
        <v>0</v>
      </c>
      <c r="I38" s="93" t="b">
        <v>0</v>
      </c>
      <c r="J38" s="93" t="b">
        <v>0</v>
      </c>
      <c r="K38" s="93" t="b">
        <v>0</v>
      </c>
      <c r="L38" s="93" t="b">
        <v>0</v>
      </c>
    </row>
    <row r="39" spans="1:12" ht="15">
      <c r="A39" s="93" t="s">
        <v>479</v>
      </c>
      <c r="B39" s="93" t="s">
        <v>421</v>
      </c>
      <c r="C39" s="93">
        <v>3</v>
      </c>
      <c r="D39" s="133">
        <v>0</v>
      </c>
      <c r="E39" s="133">
        <v>1.146128035678238</v>
      </c>
      <c r="F39" s="93" t="s">
        <v>392</v>
      </c>
      <c r="G39" s="93" t="b">
        <v>0</v>
      </c>
      <c r="H39" s="93" t="b">
        <v>0</v>
      </c>
      <c r="I39" s="93" t="b">
        <v>0</v>
      </c>
      <c r="J39" s="93" t="b">
        <v>0</v>
      </c>
      <c r="K39" s="93" t="b">
        <v>0</v>
      </c>
      <c r="L39" s="93" t="b">
        <v>0</v>
      </c>
    </row>
    <row r="40" spans="1:12" ht="15">
      <c r="A40" s="93" t="s">
        <v>421</v>
      </c>
      <c r="B40" s="93" t="s">
        <v>480</v>
      </c>
      <c r="C40" s="93">
        <v>3</v>
      </c>
      <c r="D40" s="133">
        <v>0</v>
      </c>
      <c r="E40" s="133">
        <v>1.146128035678238</v>
      </c>
      <c r="F40" s="93" t="s">
        <v>392</v>
      </c>
      <c r="G40" s="93" t="b">
        <v>0</v>
      </c>
      <c r="H40" s="93" t="b">
        <v>0</v>
      </c>
      <c r="I40" s="93" t="b">
        <v>0</v>
      </c>
      <c r="J40" s="93" t="b">
        <v>0</v>
      </c>
      <c r="K40" s="93" t="b">
        <v>0</v>
      </c>
      <c r="L40" s="93" t="b">
        <v>0</v>
      </c>
    </row>
    <row r="41" spans="1:12" ht="15">
      <c r="A41" s="93" t="s">
        <v>480</v>
      </c>
      <c r="B41" s="93" t="s">
        <v>481</v>
      </c>
      <c r="C41" s="93">
        <v>3</v>
      </c>
      <c r="D41" s="133">
        <v>0</v>
      </c>
      <c r="E41" s="133">
        <v>1.4471580313422192</v>
      </c>
      <c r="F41" s="93" t="s">
        <v>392</v>
      </c>
      <c r="G41" s="93" t="b">
        <v>0</v>
      </c>
      <c r="H41" s="93" t="b">
        <v>0</v>
      </c>
      <c r="I41" s="93" t="b">
        <v>0</v>
      </c>
      <c r="J41" s="93" t="b">
        <v>0</v>
      </c>
      <c r="K41" s="93" t="b">
        <v>0</v>
      </c>
      <c r="L41" s="93" t="b">
        <v>0</v>
      </c>
    </row>
    <row r="42" spans="1:12" ht="15">
      <c r="A42" s="93" t="s">
        <v>481</v>
      </c>
      <c r="B42" s="93" t="s">
        <v>482</v>
      </c>
      <c r="C42" s="93">
        <v>3</v>
      </c>
      <c r="D42" s="133">
        <v>0</v>
      </c>
      <c r="E42" s="133">
        <v>1.4471580313422192</v>
      </c>
      <c r="F42" s="93" t="s">
        <v>392</v>
      </c>
      <c r="G42" s="93" t="b">
        <v>0</v>
      </c>
      <c r="H42" s="93" t="b">
        <v>0</v>
      </c>
      <c r="I42" s="93" t="b">
        <v>0</v>
      </c>
      <c r="J42" s="93" t="b">
        <v>0</v>
      </c>
      <c r="K42" s="93" t="b">
        <v>0</v>
      </c>
      <c r="L42" s="93" t="b">
        <v>0</v>
      </c>
    </row>
    <row r="43" spans="1:12" ht="15">
      <c r="A43" s="93" t="s">
        <v>482</v>
      </c>
      <c r="B43" s="93" t="s">
        <v>483</v>
      </c>
      <c r="C43" s="93">
        <v>3</v>
      </c>
      <c r="D43" s="133">
        <v>0</v>
      </c>
      <c r="E43" s="133">
        <v>1.4471580313422192</v>
      </c>
      <c r="F43" s="93" t="s">
        <v>392</v>
      </c>
      <c r="G43" s="93" t="b">
        <v>0</v>
      </c>
      <c r="H43" s="93" t="b">
        <v>0</v>
      </c>
      <c r="I43" s="93" t="b">
        <v>0</v>
      </c>
      <c r="J43" s="93" t="b">
        <v>0</v>
      </c>
      <c r="K43" s="93" t="b">
        <v>0</v>
      </c>
      <c r="L43" s="93" t="b">
        <v>0</v>
      </c>
    </row>
    <row r="44" spans="1:12" ht="15">
      <c r="A44" s="93" t="s">
        <v>483</v>
      </c>
      <c r="B44" s="93" t="s">
        <v>484</v>
      </c>
      <c r="C44" s="93">
        <v>3</v>
      </c>
      <c r="D44" s="133">
        <v>0</v>
      </c>
      <c r="E44" s="133">
        <v>1.4471580313422192</v>
      </c>
      <c r="F44" s="93" t="s">
        <v>392</v>
      </c>
      <c r="G44" s="93" t="b">
        <v>0</v>
      </c>
      <c r="H44" s="93" t="b">
        <v>0</v>
      </c>
      <c r="I44" s="93" t="b">
        <v>0</v>
      </c>
      <c r="J44" s="93" t="b">
        <v>0</v>
      </c>
      <c r="K44" s="93" t="b">
        <v>0</v>
      </c>
      <c r="L44" s="93" t="b">
        <v>0</v>
      </c>
    </row>
    <row r="45" spans="1:12" ht="15">
      <c r="A45" s="93" t="s">
        <v>484</v>
      </c>
      <c r="B45" s="93" t="s">
        <v>485</v>
      </c>
      <c r="C45" s="93">
        <v>3</v>
      </c>
      <c r="D45" s="133">
        <v>0</v>
      </c>
      <c r="E45" s="133">
        <v>1.4471580313422192</v>
      </c>
      <c r="F45" s="93" t="s">
        <v>392</v>
      </c>
      <c r="G45" s="93" t="b">
        <v>0</v>
      </c>
      <c r="H45" s="93" t="b">
        <v>0</v>
      </c>
      <c r="I45" s="93" t="b">
        <v>0</v>
      </c>
      <c r="J45" s="93" t="b">
        <v>0</v>
      </c>
      <c r="K45" s="93" t="b">
        <v>0</v>
      </c>
      <c r="L45" s="93" t="b">
        <v>0</v>
      </c>
    </row>
    <row r="46" spans="1:12" ht="15">
      <c r="A46" s="93" t="s">
        <v>485</v>
      </c>
      <c r="B46" s="93" t="s">
        <v>486</v>
      </c>
      <c r="C46" s="93">
        <v>3</v>
      </c>
      <c r="D46" s="133">
        <v>0</v>
      </c>
      <c r="E46" s="133">
        <v>1.4471580313422192</v>
      </c>
      <c r="F46" s="93" t="s">
        <v>392</v>
      </c>
      <c r="G46" s="93" t="b">
        <v>0</v>
      </c>
      <c r="H46" s="93" t="b">
        <v>0</v>
      </c>
      <c r="I46" s="93" t="b">
        <v>0</v>
      </c>
      <c r="J46" s="93" t="b">
        <v>0</v>
      </c>
      <c r="K46" s="93" t="b">
        <v>0</v>
      </c>
      <c r="L46" s="93" t="b">
        <v>0</v>
      </c>
    </row>
    <row r="47" spans="1:12" ht="15">
      <c r="A47" s="93" t="s">
        <v>486</v>
      </c>
      <c r="B47" s="93" t="s">
        <v>421</v>
      </c>
      <c r="C47" s="93">
        <v>3</v>
      </c>
      <c r="D47" s="133">
        <v>0</v>
      </c>
      <c r="E47" s="133">
        <v>1.146128035678238</v>
      </c>
      <c r="F47" s="93" t="s">
        <v>392</v>
      </c>
      <c r="G47" s="93" t="b">
        <v>0</v>
      </c>
      <c r="H47" s="93" t="b">
        <v>0</v>
      </c>
      <c r="I47" s="93" t="b">
        <v>0</v>
      </c>
      <c r="J47" s="93" t="b">
        <v>0</v>
      </c>
      <c r="K47" s="93" t="b">
        <v>0</v>
      </c>
      <c r="L47" s="93" t="b">
        <v>0</v>
      </c>
    </row>
    <row r="48" spans="1:12" ht="15">
      <c r="A48" s="93" t="s">
        <v>421</v>
      </c>
      <c r="B48" s="93" t="s">
        <v>487</v>
      </c>
      <c r="C48" s="93">
        <v>3</v>
      </c>
      <c r="D48" s="133">
        <v>0</v>
      </c>
      <c r="E48" s="133">
        <v>1.146128035678238</v>
      </c>
      <c r="F48" s="93" t="s">
        <v>392</v>
      </c>
      <c r="G48" s="93" t="b">
        <v>0</v>
      </c>
      <c r="H48" s="93" t="b">
        <v>0</v>
      </c>
      <c r="I48" s="93" t="b">
        <v>0</v>
      </c>
      <c r="J48" s="93" t="b">
        <v>0</v>
      </c>
      <c r="K48" s="93" t="b">
        <v>0</v>
      </c>
      <c r="L48" s="93" t="b">
        <v>0</v>
      </c>
    </row>
    <row r="49" spans="1:12" ht="15">
      <c r="A49" s="93" t="s">
        <v>487</v>
      </c>
      <c r="B49" s="93" t="s">
        <v>488</v>
      </c>
      <c r="C49" s="93">
        <v>3</v>
      </c>
      <c r="D49" s="133">
        <v>0</v>
      </c>
      <c r="E49" s="133">
        <v>1.4471580313422192</v>
      </c>
      <c r="F49" s="93" t="s">
        <v>392</v>
      </c>
      <c r="G49" s="93" t="b">
        <v>0</v>
      </c>
      <c r="H49" s="93" t="b">
        <v>0</v>
      </c>
      <c r="I49" s="93" t="b">
        <v>0</v>
      </c>
      <c r="J49" s="93" t="b">
        <v>0</v>
      </c>
      <c r="K49" s="93" t="b">
        <v>0</v>
      </c>
      <c r="L49" s="93" t="b">
        <v>0</v>
      </c>
    </row>
    <row r="50" spans="1:12" ht="15">
      <c r="A50" s="93" t="s">
        <v>488</v>
      </c>
      <c r="B50" s="93" t="s">
        <v>489</v>
      </c>
      <c r="C50" s="93">
        <v>3</v>
      </c>
      <c r="D50" s="133">
        <v>0</v>
      </c>
      <c r="E50" s="133">
        <v>1.4471580313422192</v>
      </c>
      <c r="F50" s="93" t="s">
        <v>392</v>
      </c>
      <c r="G50" s="93" t="b">
        <v>0</v>
      </c>
      <c r="H50" s="93" t="b">
        <v>0</v>
      </c>
      <c r="I50" s="93" t="b">
        <v>0</v>
      </c>
      <c r="J50" s="93" t="b">
        <v>0</v>
      </c>
      <c r="K50" s="93" t="b">
        <v>0</v>
      </c>
      <c r="L50" s="93" t="b">
        <v>0</v>
      </c>
    </row>
    <row r="51" spans="1:12" ht="15">
      <c r="A51" s="93" t="s">
        <v>489</v>
      </c>
      <c r="B51" s="93" t="s">
        <v>490</v>
      </c>
      <c r="C51" s="93">
        <v>3</v>
      </c>
      <c r="D51" s="133">
        <v>0</v>
      </c>
      <c r="E51" s="133">
        <v>1.4471580313422192</v>
      </c>
      <c r="F51" s="93" t="s">
        <v>392</v>
      </c>
      <c r="G51" s="93" t="b">
        <v>0</v>
      </c>
      <c r="H51" s="93" t="b">
        <v>0</v>
      </c>
      <c r="I51" s="93" t="b">
        <v>0</v>
      </c>
      <c r="J51" s="93" t="b">
        <v>0</v>
      </c>
      <c r="K51" s="93" t="b">
        <v>0</v>
      </c>
      <c r="L51" s="93" t="b">
        <v>0</v>
      </c>
    </row>
    <row r="52" spans="1:12" ht="15">
      <c r="A52" s="93" t="s">
        <v>490</v>
      </c>
      <c r="B52" s="93" t="s">
        <v>491</v>
      </c>
      <c r="C52" s="93">
        <v>3</v>
      </c>
      <c r="D52" s="133">
        <v>0</v>
      </c>
      <c r="E52" s="133">
        <v>1.4471580313422192</v>
      </c>
      <c r="F52" s="93" t="s">
        <v>392</v>
      </c>
      <c r="G52" s="93" t="b">
        <v>0</v>
      </c>
      <c r="H52" s="93" t="b">
        <v>0</v>
      </c>
      <c r="I52" s="93" t="b">
        <v>0</v>
      </c>
      <c r="J52" s="93" t="b">
        <v>0</v>
      </c>
      <c r="K52" s="93" t="b">
        <v>0</v>
      </c>
      <c r="L52" s="93" t="b">
        <v>0</v>
      </c>
    </row>
    <row r="53" spans="1:12" ht="15">
      <c r="A53" s="93" t="s">
        <v>491</v>
      </c>
      <c r="B53" s="93" t="s">
        <v>492</v>
      </c>
      <c r="C53" s="93">
        <v>3</v>
      </c>
      <c r="D53" s="133">
        <v>0</v>
      </c>
      <c r="E53" s="133">
        <v>1.4471580313422192</v>
      </c>
      <c r="F53" s="93" t="s">
        <v>392</v>
      </c>
      <c r="G53" s="93" t="b">
        <v>0</v>
      </c>
      <c r="H53" s="93" t="b">
        <v>0</v>
      </c>
      <c r="I53" s="93" t="b">
        <v>0</v>
      </c>
      <c r="J53" s="93" t="b">
        <v>0</v>
      </c>
      <c r="K53" s="93" t="b">
        <v>0</v>
      </c>
      <c r="L53" s="93" t="b">
        <v>0</v>
      </c>
    </row>
    <row r="54" spans="1:12" ht="15">
      <c r="A54" s="93" t="s">
        <v>492</v>
      </c>
      <c r="B54" s="93" t="s">
        <v>493</v>
      </c>
      <c r="C54" s="93">
        <v>3</v>
      </c>
      <c r="D54" s="133">
        <v>0</v>
      </c>
      <c r="E54" s="133">
        <v>1.4471580313422192</v>
      </c>
      <c r="F54" s="93" t="s">
        <v>392</v>
      </c>
      <c r="G54" s="93" t="b">
        <v>0</v>
      </c>
      <c r="H54" s="93" t="b">
        <v>0</v>
      </c>
      <c r="I54" s="93" t="b">
        <v>0</v>
      </c>
      <c r="J54" s="93" t="b">
        <v>0</v>
      </c>
      <c r="K54" s="93" t="b">
        <v>0</v>
      </c>
      <c r="L54" s="93" t="b">
        <v>0</v>
      </c>
    </row>
    <row r="55" spans="1:12" ht="15">
      <c r="A55" s="93" t="s">
        <v>493</v>
      </c>
      <c r="B55" s="93" t="s">
        <v>216</v>
      </c>
      <c r="C55" s="93">
        <v>3</v>
      </c>
      <c r="D55" s="133">
        <v>0</v>
      </c>
      <c r="E55" s="133">
        <v>1.4471580313422192</v>
      </c>
      <c r="F55" s="93" t="s">
        <v>392</v>
      </c>
      <c r="G55" s="93" t="b">
        <v>0</v>
      </c>
      <c r="H55" s="93" t="b">
        <v>0</v>
      </c>
      <c r="I55" s="93" t="b">
        <v>0</v>
      </c>
      <c r="J55" s="93" t="b">
        <v>0</v>
      </c>
      <c r="K55" s="93" t="b">
        <v>0</v>
      </c>
      <c r="L55" s="93" t="b">
        <v>0</v>
      </c>
    </row>
    <row r="56" spans="1:12" ht="15">
      <c r="A56" s="93" t="s">
        <v>216</v>
      </c>
      <c r="B56" s="93" t="s">
        <v>217</v>
      </c>
      <c r="C56" s="93">
        <v>3</v>
      </c>
      <c r="D56" s="133">
        <v>0</v>
      </c>
      <c r="E56" s="133">
        <v>1.4471580313422192</v>
      </c>
      <c r="F56" s="93" t="s">
        <v>392</v>
      </c>
      <c r="G56" s="93" t="b">
        <v>0</v>
      </c>
      <c r="H56" s="93" t="b">
        <v>0</v>
      </c>
      <c r="I56" s="93" t="b">
        <v>0</v>
      </c>
      <c r="J56" s="93" t="b">
        <v>0</v>
      </c>
      <c r="K56" s="93" t="b">
        <v>0</v>
      </c>
      <c r="L56" s="93" t="b">
        <v>0</v>
      </c>
    </row>
    <row r="57" spans="1:12" ht="15">
      <c r="A57" s="93" t="s">
        <v>217</v>
      </c>
      <c r="B57" s="93" t="s">
        <v>218</v>
      </c>
      <c r="C57" s="93">
        <v>3</v>
      </c>
      <c r="D57" s="133">
        <v>0</v>
      </c>
      <c r="E57" s="133">
        <v>1.4471580313422192</v>
      </c>
      <c r="F57" s="93" t="s">
        <v>392</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520</v>
      </c>
      <c r="B2" s="136" t="s">
        <v>521</v>
      </c>
      <c r="C2" s="67" t="s">
        <v>522</v>
      </c>
    </row>
    <row r="3" spans="1:3" ht="15">
      <c r="A3" s="135" t="s">
        <v>391</v>
      </c>
      <c r="B3" s="135" t="s">
        <v>391</v>
      </c>
      <c r="C3" s="36">
        <v>4</v>
      </c>
    </row>
    <row r="4" spans="1:3" ht="15">
      <c r="A4" s="135" t="s">
        <v>392</v>
      </c>
      <c r="B4" s="135" t="s">
        <v>391</v>
      </c>
      <c r="C4" s="36">
        <v>3</v>
      </c>
    </row>
    <row r="5" spans="1:3" ht="15">
      <c r="A5" s="135" t="s">
        <v>392</v>
      </c>
      <c r="B5" s="135" t="s">
        <v>392</v>
      </c>
      <c r="C5" s="36">
        <v>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540</v>
      </c>
      <c r="B1" s="13" t="s">
        <v>17</v>
      </c>
    </row>
    <row r="2" spans="1:2" ht="15">
      <c r="A2" s="85" t="s">
        <v>541</v>
      </c>
      <c r="B2" s="85" t="s">
        <v>547</v>
      </c>
    </row>
    <row r="3" spans="1:2" ht="15">
      <c r="A3" s="85" t="s">
        <v>542</v>
      </c>
      <c r="B3" s="85" t="s">
        <v>548</v>
      </c>
    </row>
    <row r="4" spans="1:2" ht="15">
      <c r="A4" s="85" t="s">
        <v>543</v>
      </c>
      <c r="B4" s="85" t="s">
        <v>549</v>
      </c>
    </row>
    <row r="5" spans="1:2" ht="15">
      <c r="A5" s="85" t="s">
        <v>544</v>
      </c>
      <c r="B5" s="85" t="s">
        <v>550</v>
      </c>
    </row>
    <row r="6" spans="1:2" ht="15">
      <c r="A6" s="85" t="s">
        <v>545</v>
      </c>
      <c r="B6" s="85" t="s">
        <v>551</v>
      </c>
    </row>
    <row r="7" spans="1:2" ht="15">
      <c r="A7" s="85" t="s">
        <v>546</v>
      </c>
      <c r="B7" s="85" t="s">
        <v>548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552</v>
      </c>
      <c r="B1" s="13" t="s">
        <v>34</v>
      </c>
    </row>
    <row r="2" spans="1:2" ht="15">
      <c r="A2" s="127" t="s">
        <v>217</v>
      </c>
      <c r="B2" s="85">
        <v>30</v>
      </c>
    </row>
    <row r="3" spans="1:2" ht="15">
      <c r="A3" s="127" t="s">
        <v>214</v>
      </c>
      <c r="B3" s="85">
        <v>2.666667</v>
      </c>
    </row>
    <row r="4" spans="1:2" ht="15">
      <c r="A4" s="127" t="s">
        <v>216</v>
      </c>
      <c r="B4" s="85">
        <v>2.666667</v>
      </c>
    </row>
    <row r="5" spans="1:2" ht="15">
      <c r="A5" s="127" t="s">
        <v>215</v>
      </c>
      <c r="B5" s="85">
        <v>2.666667</v>
      </c>
    </row>
    <row r="6" spans="1:2" ht="15">
      <c r="A6" s="127" t="s">
        <v>220</v>
      </c>
      <c r="B6" s="85">
        <v>0</v>
      </c>
    </row>
    <row r="7" spans="1:2" ht="15">
      <c r="A7" s="127" t="s">
        <v>221</v>
      </c>
      <c r="B7" s="85">
        <v>0</v>
      </c>
    </row>
    <row r="8" spans="1:2" ht="15">
      <c r="A8" s="127" t="s">
        <v>218</v>
      </c>
      <c r="B8" s="85">
        <v>0</v>
      </c>
    </row>
    <row r="9" spans="1:2" ht="15">
      <c r="A9" s="127" t="s">
        <v>219</v>
      </c>
      <c r="B9"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557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272</v>
      </c>
      <c r="AF2" s="13" t="s">
        <v>273</v>
      </c>
      <c r="AG2" s="13" t="s">
        <v>274</v>
      </c>
      <c r="AH2" s="13" t="s">
        <v>275</v>
      </c>
      <c r="AI2" s="13" t="s">
        <v>276</v>
      </c>
      <c r="AJ2" s="13" t="s">
        <v>277</v>
      </c>
      <c r="AK2" s="13" t="s">
        <v>278</v>
      </c>
      <c r="AL2" s="13" t="s">
        <v>279</v>
      </c>
      <c r="AM2" s="13" t="s">
        <v>280</v>
      </c>
      <c r="AN2" s="13" t="s">
        <v>281</v>
      </c>
      <c r="AO2" s="13" t="s">
        <v>282</v>
      </c>
      <c r="AP2" s="13" t="s">
        <v>283</v>
      </c>
      <c r="AQ2" s="13" t="s">
        <v>284</v>
      </c>
      <c r="AR2" s="13" t="s">
        <v>285</v>
      </c>
      <c r="AS2" s="13" t="s">
        <v>286</v>
      </c>
      <c r="AT2" s="13" t="s">
        <v>194</v>
      </c>
      <c r="AU2" s="13" t="s">
        <v>287</v>
      </c>
      <c r="AV2" s="13" t="s">
        <v>288</v>
      </c>
      <c r="AW2" s="13" t="s">
        <v>289</v>
      </c>
      <c r="AX2" s="13" t="s">
        <v>290</v>
      </c>
      <c r="AY2" s="13" t="s">
        <v>291</v>
      </c>
      <c r="AZ2" s="13" t="s">
        <v>292</v>
      </c>
      <c r="BA2" s="13" t="s">
        <v>395</v>
      </c>
      <c r="BB2" s="130" t="s">
        <v>466</v>
      </c>
      <c r="BC2" s="130" t="s">
        <v>467</v>
      </c>
      <c r="BD2" s="130" t="s">
        <v>468</v>
      </c>
      <c r="BE2" s="130" t="s">
        <v>469</v>
      </c>
      <c r="BF2" s="130" t="s">
        <v>470</v>
      </c>
      <c r="BG2" s="130" t="s">
        <v>471</v>
      </c>
      <c r="BH2" s="130" t="s">
        <v>472</v>
      </c>
      <c r="BI2" s="130" t="s">
        <v>474</v>
      </c>
      <c r="BJ2" s="130" t="s">
        <v>475</v>
      </c>
      <c r="BK2" s="130" t="s">
        <v>477</v>
      </c>
      <c r="BL2" s="130" t="s">
        <v>509</v>
      </c>
      <c r="BM2" s="130" t="s">
        <v>510</v>
      </c>
      <c r="BN2" s="130" t="s">
        <v>511</v>
      </c>
      <c r="BO2" s="130" t="s">
        <v>512</v>
      </c>
      <c r="BP2" s="130" t="s">
        <v>513</v>
      </c>
      <c r="BQ2" s="130" t="s">
        <v>514</v>
      </c>
      <c r="BR2" s="130" t="s">
        <v>515</v>
      </c>
      <c r="BS2" s="130" t="s">
        <v>516</v>
      </c>
      <c r="BT2" s="130" t="s">
        <v>518</v>
      </c>
      <c r="BU2" s="3"/>
      <c r="BV2" s="3"/>
    </row>
    <row r="3" spans="1:74" ht="41.45" customHeight="1">
      <c r="A3" s="50" t="s">
        <v>214</v>
      </c>
      <c r="C3" s="53"/>
      <c r="D3" s="53" t="s">
        <v>64</v>
      </c>
      <c r="E3" s="54">
        <v>175.02408288994678</v>
      </c>
      <c r="F3" s="55">
        <v>99.99912231293997</v>
      </c>
      <c r="G3" s="114" t="s">
        <v>234</v>
      </c>
      <c r="H3" s="53"/>
      <c r="I3" s="57" t="s">
        <v>214</v>
      </c>
      <c r="J3" s="56"/>
      <c r="K3" s="56"/>
      <c r="L3" s="116" t="s">
        <v>344</v>
      </c>
      <c r="M3" s="59">
        <v>1.292503840869274</v>
      </c>
      <c r="N3" s="60">
        <v>311.8596496582031</v>
      </c>
      <c r="O3" s="60">
        <v>2494.367919921875</v>
      </c>
      <c r="P3" s="58"/>
      <c r="Q3" s="61"/>
      <c r="R3" s="61"/>
      <c r="S3" s="51"/>
      <c r="T3" s="51">
        <v>0</v>
      </c>
      <c r="U3" s="51">
        <v>4</v>
      </c>
      <c r="V3" s="52">
        <v>2.666667</v>
      </c>
      <c r="W3" s="52">
        <v>0.1</v>
      </c>
      <c r="X3" s="52">
        <v>0.166366</v>
      </c>
      <c r="Y3" s="52">
        <v>1.185123</v>
      </c>
      <c r="Z3" s="52">
        <v>0.5</v>
      </c>
      <c r="AA3" s="52">
        <v>0</v>
      </c>
      <c r="AB3" s="62">
        <v>3</v>
      </c>
      <c r="AC3" s="62"/>
      <c r="AD3" s="63"/>
      <c r="AE3" s="85" t="s">
        <v>293</v>
      </c>
      <c r="AF3" s="85">
        <v>1054</v>
      </c>
      <c r="AG3" s="85">
        <v>238</v>
      </c>
      <c r="AH3" s="85">
        <v>480</v>
      </c>
      <c r="AI3" s="85">
        <v>442</v>
      </c>
      <c r="AJ3" s="85"/>
      <c r="AK3" s="85" t="s">
        <v>300</v>
      </c>
      <c r="AL3" s="85" t="s">
        <v>307</v>
      </c>
      <c r="AM3" s="90" t="s">
        <v>313</v>
      </c>
      <c r="AN3" s="85"/>
      <c r="AO3" s="87">
        <v>42311.13549768519</v>
      </c>
      <c r="AP3" s="90" t="s">
        <v>321</v>
      </c>
      <c r="AQ3" s="85" t="b">
        <v>1</v>
      </c>
      <c r="AR3" s="85" t="b">
        <v>0</v>
      </c>
      <c r="AS3" s="85" t="b">
        <v>1</v>
      </c>
      <c r="AT3" s="85"/>
      <c r="AU3" s="85">
        <v>10</v>
      </c>
      <c r="AV3" s="90" t="s">
        <v>328</v>
      </c>
      <c r="AW3" s="85" t="b">
        <v>0</v>
      </c>
      <c r="AX3" s="85" t="s">
        <v>335</v>
      </c>
      <c r="AY3" s="90" t="s">
        <v>336</v>
      </c>
      <c r="AZ3" s="85" t="s">
        <v>66</v>
      </c>
      <c r="BA3" s="85" t="str">
        <f>REPLACE(INDEX(GroupVertices[Group],MATCH(Vertices[[#This Row],[Vertex]],GroupVertices[Vertex],0)),1,1,"")</f>
        <v>2</v>
      </c>
      <c r="BB3" s="51"/>
      <c r="BC3" s="51"/>
      <c r="BD3" s="51"/>
      <c r="BE3" s="51"/>
      <c r="BF3" s="51" t="s">
        <v>231</v>
      </c>
      <c r="BG3" s="51" t="s">
        <v>231</v>
      </c>
      <c r="BH3" s="131" t="s">
        <v>434</v>
      </c>
      <c r="BI3" s="131" t="s">
        <v>434</v>
      </c>
      <c r="BJ3" s="131" t="s">
        <v>449</v>
      </c>
      <c r="BK3" s="131" t="s">
        <v>449</v>
      </c>
      <c r="BL3" s="131">
        <v>1</v>
      </c>
      <c r="BM3" s="134">
        <v>2.7777777777777777</v>
      </c>
      <c r="BN3" s="131">
        <v>1</v>
      </c>
      <c r="BO3" s="134">
        <v>2.7777777777777777</v>
      </c>
      <c r="BP3" s="131">
        <v>0</v>
      </c>
      <c r="BQ3" s="134">
        <v>0</v>
      </c>
      <c r="BR3" s="131">
        <v>34</v>
      </c>
      <c r="BS3" s="134">
        <v>94.44444444444444</v>
      </c>
      <c r="BT3" s="131">
        <v>36</v>
      </c>
      <c r="BU3" s="3"/>
      <c r="BV3" s="3"/>
    </row>
    <row r="4" spans="1:77" ht="41.45" customHeight="1">
      <c r="A4" s="14" t="s">
        <v>215</v>
      </c>
      <c r="C4" s="15"/>
      <c r="D4" s="15" t="s">
        <v>64</v>
      </c>
      <c r="E4" s="95">
        <v>210.92831139736768</v>
      </c>
      <c r="F4" s="81">
        <v>99.99670274320695</v>
      </c>
      <c r="G4" s="114" t="s">
        <v>330</v>
      </c>
      <c r="H4" s="15"/>
      <c r="I4" s="16" t="s">
        <v>215</v>
      </c>
      <c r="J4" s="66"/>
      <c r="K4" s="66"/>
      <c r="L4" s="116" t="s">
        <v>345</v>
      </c>
      <c r="M4" s="96">
        <v>2.098865780562948</v>
      </c>
      <c r="N4" s="97">
        <v>4905.29248046875</v>
      </c>
      <c r="O4" s="97">
        <v>7504.6318359375</v>
      </c>
      <c r="P4" s="77"/>
      <c r="Q4" s="98"/>
      <c r="R4" s="98"/>
      <c r="S4" s="99"/>
      <c r="T4" s="51">
        <v>2</v>
      </c>
      <c r="U4" s="51">
        <v>3</v>
      </c>
      <c r="V4" s="52">
        <v>2.666667</v>
      </c>
      <c r="W4" s="52">
        <v>0.1</v>
      </c>
      <c r="X4" s="52">
        <v>0.166366</v>
      </c>
      <c r="Y4" s="52">
        <v>1.185123</v>
      </c>
      <c r="Z4" s="52">
        <v>0.4166666666666667</v>
      </c>
      <c r="AA4" s="52">
        <v>0.25</v>
      </c>
      <c r="AB4" s="82">
        <v>4</v>
      </c>
      <c r="AC4" s="82"/>
      <c r="AD4" s="100"/>
      <c r="AE4" s="85" t="s">
        <v>294</v>
      </c>
      <c r="AF4" s="85">
        <v>877</v>
      </c>
      <c r="AG4" s="85">
        <v>544</v>
      </c>
      <c r="AH4" s="85">
        <v>278</v>
      </c>
      <c r="AI4" s="85">
        <v>418</v>
      </c>
      <c r="AJ4" s="85"/>
      <c r="AK4" s="85" t="s">
        <v>301</v>
      </c>
      <c r="AL4" s="85" t="s">
        <v>307</v>
      </c>
      <c r="AM4" s="90" t="s">
        <v>314</v>
      </c>
      <c r="AN4" s="85"/>
      <c r="AO4" s="87">
        <v>42149.756203703706</v>
      </c>
      <c r="AP4" s="90" t="s">
        <v>322</v>
      </c>
      <c r="AQ4" s="85" t="b">
        <v>0</v>
      </c>
      <c r="AR4" s="85" t="b">
        <v>0</v>
      </c>
      <c r="AS4" s="85" t="b">
        <v>1</v>
      </c>
      <c r="AT4" s="85"/>
      <c r="AU4" s="85">
        <v>9</v>
      </c>
      <c r="AV4" s="90" t="s">
        <v>328</v>
      </c>
      <c r="AW4" s="85" t="b">
        <v>0</v>
      </c>
      <c r="AX4" s="85" t="s">
        <v>335</v>
      </c>
      <c r="AY4" s="90" t="s">
        <v>337</v>
      </c>
      <c r="AZ4" s="85" t="s">
        <v>66</v>
      </c>
      <c r="BA4" s="85" t="str">
        <f>REPLACE(INDEX(GroupVertices[Group],MATCH(Vertices[[#This Row],[Vertex]],GroupVertices[Vertex],0)),1,1,"")</f>
        <v>2</v>
      </c>
      <c r="BB4" s="51"/>
      <c r="BC4" s="51"/>
      <c r="BD4" s="51"/>
      <c r="BE4" s="51"/>
      <c r="BF4" s="51" t="s">
        <v>231</v>
      </c>
      <c r="BG4" s="51" t="s">
        <v>231</v>
      </c>
      <c r="BH4" s="131" t="s">
        <v>434</v>
      </c>
      <c r="BI4" s="131" t="s">
        <v>434</v>
      </c>
      <c r="BJ4" s="131" t="s">
        <v>449</v>
      </c>
      <c r="BK4" s="131" t="s">
        <v>449</v>
      </c>
      <c r="BL4" s="131">
        <v>1</v>
      </c>
      <c r="BM4" s="134">
        <v>2.7777777777777777</v>
      </c>
      <c r="BN4" s="131">
        <v>1</v>
      </c>
      <c r="BO4" s="134">
        <v>2.7777777777777777</v>
      </c>
      <c r="BP4" s="131">
        <v>0</v>
      </c>
      <c r="BQ4" s="134">
        <v>0</v>
      </c>
      <c r="BR4" s="131">
        <v>34</v>
      </c>
      <c r="BS4" s="134">
        <v>94.44444444444444</v>
      </c>
      <c r="BT4" s="131">
        <v>36</v>
      </c>
      <c r="BU4" s="2"/>
      <c r="BV4" s="3"/>
      <c r="BW4" s="3"/>
      <c r="BX4" s="3"/>
      <c r="BY4" s="3"/>
    </row>
    <row r="5" spans="1:77" ht="41.45" customHeight="1">
      <c r="A5" s="14" t="s">
        <v>218</v>
      </c>
      <c r="C5" s="15"/>
      <c r="D5" s="15" t="s">
        <v>64</v>
      </c>
      <c r="E5" s="95">
        <v>393.73480817698123</v>
      </c>
      <c r="F5" s="81">
        <v>99.98438349600416</v>
      </c>
      <c r="G5" s="114" t="s">
        <v>331</v>
      </c>
      <c r="H5" s="15"/>
      <c r="I5" s="16" t="s">
        <v>218</v>
      </c>
      <c r="J5" s="66"/>
      <c r="K5" s="66"/>
      <c r="L5" s="116" t="s">
        <v>346</v>
      </c>
      <c r="M5" s="96">
        <v>6.204460231683027</v>
      </c>
      <c r="N5" s="97">
        <v>3819.86328125</v>
      </c>
      <c r="O5" s="97">
        <v>758.7476196289062</v>
      </c>
      <c r="P5" s="77"/>
      <c r="Q5" s="98"/>
      <c r="R5" s="98"/>
      <c r="S5" s="99"/>
      <c r="T5" s="51">
        <v>3</v>
      </c>
      <c r="U5" s="51">
        <v>0</v>
      </c>
      <c r="V5" s="52">
        <v>0</v>
      </c>
      <c r="W5" s="52">
        <v>0.071429</v>
      </c>
      <c r="X5" s="52">
        <v>0.123401</v>
      </c>
      <c r="Y5" s="52">
        <v>0.905506</v>
      </c>
      <c r="Z5" s="52">
        <v>0.6666666666666666</v>
      </c>
      <c r="AA5" s="52">
        <v>0</v>
      </c>
      <c r="AB5" s="82">
        <v>5</v>
      </c>
      <c r="AC5" s="82"/>
      <c r="AD5" s="100"/>
      <c r="AE5" s="85" t="s">
        <v>295</v>
      </c>
      <c r="AF5" s="85">
        <v>1471</v>
      </c>
      <c r="AG5" s="85">
        <v>2102</v>
      </c>
      <c r="AH5" s="85">
        <v>1939</v>
      </c>
      <c r="AI5" s="85">
        <v>1022</v>
      </c>
      <c r="AJ5" s="85"/>
      <c r="AK5" s="85" t="s">
        <v>302</v>
      </c>
      <c r="AL5" s="85" t="s">
        <v>269</v>
      </c>
      <c r="AM5" s="90" t="s">
        <v>315</v>
      </c>
      <c r="AN5" s="85"/>
      <c r="AO5" s="87">
        <v>40123.16005787037</v>
      </c>
      <c r="AP5" s="90" t="s">
        <v>323</v>
      </c>
      <c r="AQ5" s="85" t="b">
        <v>1</v>
      </c>
      <c r="AR5" s="85" t="b">
        <v>0</v>
      </c>
      <c r="AS5" s="85" t="b">
        <v>1</v>
      </c>
      <c r="AT5" s="85"/>
      <c r="AU5" s="85">
        <v>90</v>
      </c>
      <c r="AV5" s="90" t="s">
        <v>328</v>
      </c>
      <c r="AW5" s="85" t="b">
        <v>0</v>
      </c>
      <c r="AX5" s="85" t="s">
        <v>335</v>
      </c>
      <c r="AY5" s="90" t="s">
        <v>338</v>
      </c>
      <c r="AZ5" s="85" t="s">
        <v>65</v>
      </c>
      <c r="BA5" s="85" t="str">
        <f>REPLACE(INDEX(GroupVertices[Group],MATCH(Vertices[[#This Row],[Vertex]],GroupVertices[Vertex],0)),1,1,"")</f>
        <v>2</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217</v>
      </c>
      <c r="C6" s="15"/>
      <c r="D6" s="15" t="s">
        <v>64</v>
      </c>
      <c r="E6" s="95">
        <v>221.48837860543264</v>
      </c>
      <c r="F6" s="81">
        <v>99.99599110505018</v>
      </c>
      <c r="G6" s="114" t="s">
        <v>236</v>
      </c>
      <c r="H6" s="15"/>
      <c r="I6" s="16" t="s">
        <v>217</v>
      </c>
      <c r="J6" s="66"/>
      <c r="K6" s="66"/>
      <c r="L6" s="116" t="s">
        <v>347</v>
      </c>
      <c r="M6" s="96">
        <v>2.3360310569434404</v>
      </c>
      <c r="N6" s="97">
        <v>8628.1171875</v>
      </c>
      <c r="O6" s="97">
        <v>7322.796875</v>
      </c>
      <c r="P6" s="77"/>
      <c r="Q6" s="98"/>
      <c r="R6" s="98"/>
      <c r="S6" s="99"/>
      <c r="T6" s="51">
        <v>4</v>
      </c>
      <c r="U6" s="51">
        <v>4</v>
      </c>
      <c r="V6" s="52">
        <v>30</v>
      </c>
      <c r="W6" s="52">
        <v>0.125</v>
      </c>
      <c r="X6" s="52">
        <v>0.216737</v>
      </c>
      <c r="Y6" s="52">
        <v>2.263875</v>
      </c>
      <c r="Z6" s="52">
        <v>0.13333333333333333</v>
      </c>
      <c r="AA6" s="52">
        <v>0</v>
      </c>
      <c r="AB6" s="82">
        <v>6</v>
      </c>
      <c r="AC6" s="82"/>
      <c r="AD6" s="100"/>
      <c r="AE6" s="85" t="s">
        <v>296</v>
      </c>
      <c r="AF6" s="85">
        <v>408</v>
      </c>
      <c r="AG6" s="85">
        <v>634</v>
      </c>
      <c r="AH6" s="85">
        <v>1155</v>
      </c>
      <c r="AI6" s="85">
        <v>195</v>
      </c>
      <c r="AJ6" s="85"/>
      <c r="AK6" s="85"/>
      <c r="AL6" s="85" t="s">
        <v>308</v>
      </c>
      <c r="AM6" s="90" t="s">
        <v>316</v>
      </c>
      <c r="AN6" s="85"/>
      <c r="AO6" s="87">
        <v>42425.051354166666</v>
      </c>
      <c r="AP6" s="85"/>
      <c r="AQ6" s="85" t="b">
        <v>1</v>
      </c>
      <c r="AR6" s="85" t="b">
        <v>0</v>
      </c>
      <c r="AS6" s="85" t="b">
        <v>0</v>
      </c>
      <c r="AT6" s="85"/>
      <c r="AU6" s="85">
        <v>13</v>
      </c>
      <c r="AV6" s="85"/>
      <c r="AW6" s="85" t="b">
        <v>0</v>
      </c>
      <c r="AX6" s="85" t="s">
        <v>335</v>
      </c>
      <c r="AY6" s="90" t="s">
        <v>339</v>
      </c>
      <c r="AZ6" s="85" t="s">
        <v>66</v>
      </c>
      <c r="BA6" s="85" t="str">
        <f>REPLACE(INDEX(GroupVertices[Group],MATCH(Vertices[[#This Row],[Vertex]],GroupVertices[Vertex],0)),1,1,"")</f>
        <v>1</v>
      </c>
      <c r="BB6" s="51" t="s">
        <v>229</v>
      </c>
      <c r="BC6" s="51" t="s">
        <v>229</v>
      </c>
      <c r="BD6" s="51" t="s">
        <v>230</v>
      </c>
      <c r="BE6" s="51" t="s">
        <v>230</v>
      </c>
      <c r="BF6" s="51" t="s">
        <v>232</v>
      </c>
      <c r="BG6" s="51" t="s">
        <v>232</v>
      </c>
      <c r="BH6" s="131" t="s">
        <v>473</v>
      </c>
      <c r="BI6" s="131" t="s">
        <v>473</v>
      </c>
      <c r="BJ6" s="131" t="s">
        <v>476</v>
      </c>
      <c r="BK6" s="131" t="s">
        <v>476</v>
      </c>
      <c r="BL6" s="131">
        <v>3</v>
      </c>
      <c r="BM6" s="134">
        <v>18.75</v>
      </c>
      <c r="BN6" s="131">
        <v>1</v>
      </c>
      <c r="BO6" s="134">
        <v>6.25</v>
      </c>
      <c r="BP6" s="131">
        <v>0</v>
      </c>
      <c r="BQ6" s="134">
        <v>0</v>
      </c>
      <c r="BR6" s="131">
        <v>12</v>
      </c>
      <c r="BS6" s="134">
        <v>75</v>
      </c>
      <c r="BT6" s="131">
        <v>16</v>
      </c>
      <c r="BU6" s="2"/>
      <c r="BV6" s="3"/>
      <c r="BW6" s="3"/>
      <c r="BX6" s="3"/>
      <c r="BY6" s="3"/>
    </row>
    <row r="7" spans="1:77" ht="41.45" customHeight="1">
      <c r="A7" s="14" t="s">
        <v>216</v>
      </c>
      <c r="C7" s="15"/>
      <c r="D7" s="15" t="s">
        <v>64</v>
      </c>
      <c r="E7" s="95">
        <v>279.21674600952116</v>
      </c>
      <c r="F7" s="81">
        <v>99.99210081645982</v>
      </c>
      <c r="G7" s="114" t="s">
        <v>235</v>
      </c>
      <c r="H7" s="15"/>
      <c r="I7" s="16" t="s">
        <v>216</v>
      </c>
      <c r="J7" s="66"/>
      <c r="K7" s="66"/>
      <c r="L7" s="116" t="s">
        <v>348</v>
      </c>
      <c r="M7" s="96">
        <v>3.6325345678234653</v>
      </c>
      <c r="N7" s="97">
        <v>1280.3416748046875</v>
      </c>
      <c r="O7" s="97">
        <v>9334.3603515625</v>
      </c>
      <c r="P7" s="77"/>
      <c r="Q7" s="98"/>
      <c r="R7" s="98"/>
      <c r="S7" s="99"/>
      <c r="T7" s="51">
        <v>2</v>
      </c>
      <c r="U7" s="51">
        <v>3</v>
      </c>
      <c r="V7" s="52">
        <v>2.666667</v>
      </c>
      <c r="W7" s="52">
        <v>0.1</v>
      </c>
      <c r="X7" s="52">
        <v>0.166366</v>
      </c>
      <c r="Y7" s="52">
        <v>1.185123</v>
      </c>
      <c r="Z7" s="52">
        <v>0.4166666666666667</v>
      </c>
      <c r="AA7" s="52">
        <v>0.25</v>
      </c>
      <c r="AB7" s="82">
        <v>7</v>
      </c>
      <c r="AC7" s="82"/>
      <c r="AD7" s="100"/>
      <c r="AE7" s="85" t="s">
        <v>297</v>
      </c>
      <c r="AF7" s="85">
        <v>1204</v>
      </c>
      <c r="AG7" s="85">
        <v>1126</v>
      </c>
      <c r="AH7" s="85">
        <v>1016</v>
      </c>
      <c r="AI7" s="85">
        <v>7085</v>
      </c>
      <c r="AJ7" s="85"/>
      <c r="AK7" s="85" t="s">
        <v>303</v>
      </c>
      <c r="AL7" s="85" t="s">
        <v>309</v>
      </c>
      <c r="AM7" s="90" t="s">
        <v>317</v>
      </c>
      <c r="AN7" s="85"/>
      <c r="AO7" s="87">
        <v>41316.82945601852</v>
      </c>
      <c r="AP7" s="90" t="s">
        <v>324</v>
      </c>
      <c r="AQ7" s="85" t="b">
        <v>1</v>
      </c>
      <c r="AR7" s="85" t="b">
        <v>0</v>
      </c>
      <c r="AS7" s="85" t="b">
        <v>0</v>
      </c>
      <c r="AT7" s="85"/>
      <c r="AU7" s="85">
        <v>26</v>
      </c>
      <c r="AV7" s="90" t="s">
        <v>328</v>
      </c>
      <c r="AW7" s="85" t="b">
        <v>0</v>
      </c>
      <c r="AX7" s="85" t="s">
        <v>335</v>
      </c>
      <c r="AY7" s="90" t="s">
        <v>340</v>
      </c>
      <c r="AZ7" s="85" t="s">
        <v>66</v>
      </c>
      <c r="BA7" s="85" t="str">
        <f>REPLACE(INDEX(GroupVertices[Group],MATCH(Vertices[[#This Row],[Vertex]],GroupVertices[Vertex],0)),1,1,"")</f>
        <v>2</v>
      </c>
      <c r="BB7" s="51"/>
      <c r="BC7" s="51"/>
      <c r="BD7" s="51"/>
      <c r="BE7" s="51"/>
      <c r="BF7" s="51" t="s">
        <v>231</v>
      </c>
      <c r="BG7" s="51" t="s">
        <v>231</v>
      </c>
      <c r="BH7" s="131" t="s">
        <v>434</v>
      </c>
      <c r="BI7" s="131" t="s">
        <v>434</v>
      </c>
      <c r="BJ7" s="131" t="s">
        <v>449</v>
      </c>
      <c r="BK7" s="131" t="s">
        <v>449</v>
      </c>
      <c r="BL7" s="131">
        <v>1</v>
      </c>
      <c r="BM7" s="134">
        <v>2.7777777777777777</v>
      </c>
      <c r="BN7" s="131">
        <v>1</v>
      </c>
      <c r="BO7" s="134">
        <v>2.7777777777777777</v>
      </c>
      <c r="BP7" s="131">
        <v>0</v>
      </c>
      <c r="BQ7" s="134">
        <v>0</v>
      </c>
      <c r="BR7" s="131">
        <v>34</v>
      </c>
      <c r="BS7" s="134">
        <v>94.44444444444444</v>
      </c>
      <c r="BT7" s="131">
        <v>36</v>
      </c>
      <c r="BU7" s="2"/>
      <c r="BV7" s="3"/>
      <c r="BW7" s="3"/>
      <c r="BX7" s="3"/>
      <c r="BY7" s="3"/>
    </row>
    <row r="8" spans="1:77" ht="41.45" customHeight="1">
      <c r="A8" s="14" t="s">
        <v>219</v>
      </c>
      <c r="C8" s="15"/>
      <c r="D8" s="15" t="s">
        <v>64</v>
      </c>
      <c r="E8" s="95">
        <v>1000</v>
      </c>
      <c r="F8" s="81">
        <v>70</v>
      </c>
      <c r="G8" s="114" t="s">
        <v>332</v>
      </c>
      <c r="H8" s="15"/>
      <c r="I8" s="16" t="s">
        <v>219</v>
      </c>
      <c r="J8" s="66"/>
      <c r="K8" s="66"/>
      <c r="L8" s="116" t="s">
        <v>349</v>
      </c>
      <c r="M8" s="96">
        <v>9999</v>
      </c>
      <c r="N8" s="97">
        <v>8628.1171875</v>
      </c>
      <c r="O8" s="97">
        <v>2676.202880859375</v>
      </c>
      <c r="P8" s="77"/>
      <c r="Q8" s="98"/>
      <c r="R8" s="98"/>
      <c r="S8" s="99"/>
      <c r="T8" s="51">
        <v>1</v>
      </c>
      <c r="U8" s="51">
        <v>0</v>
      </c>
      <c r="V8" s="52">
        <v>0</v>
      </c>
      <c r="W8" s="52">
        <v>0.071429</v>
      </c>
      <c r="X8" s="52">
        <v>0.053588</v>
      </c>
      <c r="Y8" s="52">
        <v>0.424896</v>
      </c>
      <c r="Z8" s="52">
        <v>0</v>
      </c>
      <c r="AA8" s="52">
        <v>0</v>
      </c>
      <c r="AB8" s="82">
        <v>8</v>
      </c>
      <c r="AC8" s="82"/>
      <c r="AD8" s="100"/>
      <c r="AE8" s="85" t="s">
        <v>298</v>
      </c>
      <c r="AF8" s="85">
        <v>794</v>
      </c>
      <c r="AG8" s="85">
        <v>3794190</v>
      </c>
      <c r="AH8" s="85">
        <v>268400</v>
      </c>
      <c r="AI8" s="85">
        <v>38</v>
      </c>
      <c r="AJ8" s="85"/>
      <c r="AK8" s="85" t="s">
        <v>304</v>
      </c>
      <c r="AL8" s="85" t="s">
        <v>310</v>
      </c>
      <c r="AM8" s="90" t="s">
        <v>318</v>
      </c>
      <c r="AN8" s="85"/>
      <c r="AO8" s="87">
        <v>39826.81138888889</v>
      </c>
      <c r="AP8" s="90" t="s">
        <v>325</v>
      </c>
      <c r="AQ8" s="85" t="b">
        <v>0</v>
      </c>
      <c r="AR8" s="85" t="b">
        <v>0</v>
      </c>
      <c r="AS8" s="85" t="b">
        <v>0</v>
      </c>
      <c r="AT8" s="85"/>
      <c r="AU8" s="85">
        <v>35623</v>
      </c>
      <c r="AV8" s="90" t="s">
        <v>328</v>
      </c>
      <c r="AW8" s="85" t="b">
        <v>1</v>
      </c>
      <c r="AX8" s="85" t="s">
        <v>335</v>
      </c>
      <c r="AY8" s="90" t="s">
        <v>341</v>
      </c>
      <c r="AZ8" s="85" t="s">
        <v>65</v>
      </c>
      <c r="BA8" s="85"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4" t="s">
        <v>220</v>
      </c>
      <c r="C9" s="15"/>
      <c r="D9" s="15" t="s">
        <v>64</v>
      </c>
      <c r="E9" s="95">
        <v>162</v>
      </c>
      <c r="F9" s="81">
        <v>100</v>
      </c>
      <c r="G9" s="114" t="s">
        <v>333</v>
      </c>
      <c r="H9" s="15"/>
      <c r="I9" s="16" t="s">
        <v>220</v>
      </c>
      <c r="J9" s="66"/>
      <c r="K9" s="66"/>
      <c r="L9" s="116" t="s">
        <v>350</v>
      </c>
      <c r="M9" s="96">
        <v>1</v>
      </c>
      <c r="N9" s="97">
        <v>6276.17529296875</v>
      </c>
      <c r="O9" s="97">
        <v>7322.796875</v>
      </c>
      <c r="P9" s="77"/>
      <c r="Q9" s="98"/>
      <c r="R9" s="98"/>
      <c r="S9" s="99"/>
      <c r="T9" s="51">
        <v>1</v>
      </c>
      <c r="U9" s="51">
        <v>0</v>
      </c>
      <c r="V9" s="52">
        <v>0</v>
      </c>
      <c r="W9" s="52">
        <v>0.071429</v>
      </c>
      <c r="X9" s="52">
        <v>0.053588</v>
      </c>
      <c r="Y9" s="52">
        <v>0.424896</v>
      </c>
      <c r="Z9" s="52">
        <v>0</v>
      </c>
      <c r="AA9" s="52">
        <v>0</v>
      </c>
      <c r="AB9" s="82">
        <v>9</v>
      </c>
      <c r="AC9" s="82"/>
      <c r="AD9" s="100"/>
      <c r="AE9" s="85" t="s">
        <v>220</v>
      </c>
      <c r="AF9" s="85">
        <v>375</v>
      </c>
      <c r="AG9" s="85">
        <v>127</v>
      </c>
      <c r="AH9" s="85">
        <v>540</v>
      </c>
      <c r="AI9" s="85">
        <v>278</v>
      </c>
      <c r="AJ9" s="85"/>
      <c r="AK9" s="85" t="s">
        <v>305</v>
      </c>
      <c r="AL9" s="85" t="s">
        <v>311</v>
      </c>
      <c r="AM9" s="90" t="s">
        <v>319</v>
      </c>
      <c r="AN9" s="85"/>
      <c r="AO9" s="87">
        <v>43400.031226851854</v>
      </c>
      <c r="AP9" s="90" t="s">
        <v>326</v>
      </c>
      <c r="AQ9" s="85" t="b">
        <v>1</v>
      </c>
      <c r="AR9" s="85" t="b">
        <v>0</v>
      </c>
      <c r="AS9" s="85" t="b">
        <v>1</v>
      </c>
      <c r="AT9" s="85"/>
      <c r="AU9" s="85">
        <v>1</v>
      </c>
      <c r="AV9" s="85"/>
      <c r="AW9" s="85" t="b">
        <v>0</v>
      </c>
      <c r="AX9" s="85" t="s">
        <v>335</v>
      </c>
      <c r="AY9" s="90" t="s">
        <v>342</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41.45" customHeight="1">
      <c r="A10" s="101" t="s">
        <v>221</v>
      </c>
      <c r="C10" s="102"/>
      <c r="D10" s="102" t="s">
        <v>64</v>
      </c>
      <c r="E10" s="103">
        <v>1000</v>
      </c>
      <c r="F10" s="104">
        <v>99.94352755871476</v>
      </c>
      <c r="G10" s="115" t="s">
        <v>334</v>
      </c>
      <c r="H10" s="102"/>
      <c r="I10" s="105" t="s">
        <v>221</v>
      </c>
      <c r="J10" s="106"/>
      <c r="K10" s="106"/>
      <c r="L10" s="117" t="s">
        <v>351</v>
      </c>
      <c r="M10" s="107">
        <v>19.82038226566085</v>
      </c>
      <c r="N10" s="108">
        <v>6276.17529296875</v>
      </c>
      <c r="O10" s="108">
        <v>2676.202880859375</v>
      </c>
      <c r="P10" s="109"/>
      <c r="Q10" s="110"/>
      <c r="R10" s="110"/>
      <c r="S10" s="111"/>
      <c r="T10" s="51">
        <v>1</v>
      </c>
      <c r="U10" s="51">
        <v>0</v>
      </c>
      <c r="V10" s="52">
        <v>0</v>
      </c>
      <c r="W10" s="52">
        <v>0.071429</v>
      </c>
      <c r="X10" s="52">
        <v>0.053588</v>
      </c>
      <c r="Y10" s="52">
        <v>0.424896</v>
      </c>
      <c r="Z10" s="52">
        <v>0</v>
      </c>
      <c r="AA10" s="52">
        <v>0</v>
      </c>
      <c r="AB10" s="112">
        <v>10</v>
      </c>
      <c r="AC10" s="112"/>
      <c r="AD10" s="113"/>
      <c r="AE10" s="85" t="s">
        <v>299</v>
      </c>
      <c r="AF10" s="85">
        <v>7789</v>
      </c>
      <c r="AG10" s="85">
        <v>7269</v>
      </c>
      <c r="AH10" s="85">
        <v>5872</v>
      </c>
      <c r="AI10" s="85">
        <v>21783</v>
      </c>
      <c r="AJ10" s="85"/>
      <c r="AK10" s="85" t="s">
        <v>306</v>
      </c>
      <c r="AL10" s="85" t="s">
        <v>312</v>
      </c>
      <c r="AM10" s="90" t="s">
        <v>320</v>
      </c>
      <c r="AN10" s="85"/>
      <c r="AO10" s="87">
        <v>41437.772048611114</v>
      </c>
      <c r="AP10" s="90" t="s">
        <v>327</v>
      </c>
      <c r="AQ10" s="85" t="b">
        <v>0</v>
      </c>
      <c r="AR10" s="85" t="b">
        <v>0</v>
      </c>
      <c r="AS10" s="85" t="b">
        <v>1</v>
      </c>
      <c r="AT10" s="85"/>
      <c r="AU10" s="85">
        <v>187</v>
      </c>
      <c r="AV10" s="90" t="s">
        <v>329</v>
      </c>
      <c r="AW10" s="85" t="b">
        <v>0</v>
      </c>
      <c r="AX10" s="85" t="s">
        <v>335</v>
      </c>
      <c r="AY10" s="90" t="s">
        <v>343</v>
      </c>
      <c r="AZ10" s="85" t="s">
        <v>65</v>
      </c>
      <c r="BA10" s="85"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
    <dataValidation allowBlank="1" showInputMessage="1" promptTitle="Vertex Tooltip" prompt="Enter optional text that will pop up when the mouse is hovered over the vertex." errorTitle="Invalid Vertex Image Key" sqref="L3:L1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
    <dataValidation allowBlank="1" showInputMessage="1" promptTitle="Vertex Label Fill Color" prompt="To select an optional fill color for the Label shape, right-click and select Select Color on the right-click menu." sqref="J3:J10"/>
    <dataValidation allowBlank="1" showInputMessage="1" promptTitle="Vertex Image File" prompt="Enter the path to an image file.  Hover over the column header for examples." errorTitle="Invalid Vertex Image Key" sqref="G3:G10"/>
    <dataValidation allowBlank="1" showInputMessage="1" promptTitle="Vertex Color" prompt="To select an optional vertex color, right-click and select Select Color on the right-click menu." sqref="C3:C10"/>
    <dataValidation allowBlank="1" showInputMessage="1" promptTitle="Vertex Opacity" prompt="Enter an optional vertex opacity between 0 (transparent) and 100 (opaque)." errorTitle="Invalid Vertex Opacity" error="The optional vertex opacity must be a whole number between 0 and 10." sqref="F3:F10"/>
    <dataValidation type="list" allowBlank="1" showInputMessage="1" showErrorMessage="1" promptTitle="Vertex Shape" prompt="Select an optional vertex shape." errorTitle="Invalid Vertex Shape" error="You have entered an invalid vertex shape.  Try selecting from the drop-down list instead." sqref="D3:D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
      <formula1>ValidVertexLabelPositions</formula1>
    </dataValidation>
    <dataValidation allowBlank="1" showInputMessage="1" showErrorMessage="1" promptTitle="Vertex Name" prompt="Enter the name of the vertex." sqref="A3:A10"/>
  </dataValidations>
  <hyperlinks>
    <hyperlink ref="AM3" r:id="rId1" display="https://t.co/SdG6BrYtVo"/>
    <hyperlink ref="AM4" r:id="rId2" display="https://t.co/JWILmsweil"/>
    <hyperlink ref="AM5" r:id="rId3" display="http://t.co/X9UOZv7Xuf"/>
    <hyperlink ref="AM6" r:id="rId4" display="https://t.co/dFGObB3xOF"/>
    <hyperlink ref="AM7" r:id="rId5" display="https://t.co/50ac87hHTY"/>
    <hyperlink ref="AM8" r:id="rId6" display="http://t.co/dnhLQpd9BY"/>
    <hyperlink ref="AM9" r:id="rId7" display="https://t.co/gCpJYcZExb"/>
    <hyperlink ref="AM10" r:id="rId8" display="https://t.co/7gxms9JZ2N"/>
    <hyperlink ref="AP3" r:id="rId9" display="https://pbs.twimg.com/profile_banners/4108477632/1532302635"/>
    <hyperlink ref="AP4" r:id="rId10" display="https://pbs.twimg.com/profile_banners/3226497493/1576635020"/>
    <hyperlink ref="AP5" r:id="rId11" display="https://pbs.twimg.com/profile_banners/87861397/1574289245"/>
    <hyperlink ref="AP7" r:id="rId12" display="https://pbs.twimg.com/profile_banners/1169879174/1575648919"/>
    <hyperlink ref="AP8" r:id="rId13" display="https://pbs.twimg.com/profile_banners/18949452/1568737238"/>
    <hyperlink ref="AP9" r:id="rId14" display="https://pbs.twimg.com/profile_banners/1055983660304744448/1541045507"/>
    <hyperlink ref="AP10" r:id="rId15" display="https://pbs.twimg.com/profile_banners/1511250390/1494768879"/>
    <hyperlink ref="AV3" r:id="rId16" display="http://abs.twimg.com/images/themes/theme1/bg.png"/>
    <hyperlink ref="AV4" r:id="rId17" display="http://abs.twimg.com/images/themes/theme1/bg.png"/>
    <hyperlink ref="AV5" r:id="rId18" display="http://abs.twimg.com/images/themes/theme1/bg.png"/>
    <hyperlink ref="AV7" r:id="rId19" display="http://abs.twimg.com/images/themes/theme1/bg.png"/>
    <hyperlink ref="AV8" r:id="rId20" display="http://abs.twimg.com/images/themes/theme1/bg.png"/>
    <hyperlink ref="AV10" r:id="rId21" display="http://abs.twimg.com/images/themes/theme9/bg.gif"/>
    <hyperlink ref="G3" r:id="rId22" display="http://pbs.twimg.com/profile_images/1041152570532618240/AZ1qkeCn_normal.jpg"/>
    <hyperlink ref="G4" r:id="rId23" display="http://pbs.twimg.com/profile_images/865457555505532929/C7c-MMKF_normal.jpg"/>
    <hyperlink ref="G5" r:id="rId24" display="http://pbs.twimg.com/profile_images/948297117734285312/9_y1YYkE_normal.jpg"/>
    <hyperlink ref="G6" r:id="rId25" display="http://pbs.twimg.com/profile_images/702663532920197121/6aBlYSqG_normal.jpg"/>
    <hyperlink ref="G7" r:id="rId26" display="http://pbs.twimg.com/profile_images/1189600680496918529/5nEs4ktf_normal.jpg"/>
    <hyperlink ref="G8" r:id="rId27" display="http://pbs.twimg.com/profile_images/931156393108885504/EqEMtLhM_normal.jpg"/>
    <hyperlink ref="G9" r:id="rId28" display="http://pbs.twimg.com/profile_images/1057847722856706048/kQbJhPGl_normal.jpg"/>
    <hyperlink ref="G10" r:id="rId29" display="http://pbs.twimg.com/profile_images/863749394562207744/-CgHW0wm_normal.jpg"/>
    <hyperlink ref="AY3" r:id="rId30" display="https://twitter.com/seanpatoshea"/>
    <hyperlink ref="AY4" r:id="rId31" display="https://twitter.com/honeymoonbrew"/>
    <hyperlink ref="AY5" r:id="rId32" display="https://twitter.com/abqfoundation"/>
    <hyperlink ref="AY6" r:id="rId33" display="https://twitter.com/kombuchabrewers"/>
    <hyperlink ref="AY7" r:id="rId34" display="https://twitter.com/nmbrewersguild"/>
    <hyperlink ref="AY8" r:id="rId35" display="https://twitter.com/ft"/>
    <hyperlink ref="AY9" r:id="rId36" display="https://twitter.com/boochnews"/>
    <hyperlink ref="AY10" r:id="rId37" display="https://twitter.com/anneamadden"/>
  </hyperlinks>
  <printOptions/>
  <pageMargins left="0.7" right="0.7" top="0.75" bottom="0.75" header="0.3" footer="0.3"/>
  <pageSetup horizontalDpi="600" verticalDpi="600" orientation="portrait" r:id="rId42"/>
  <drawing r:id="rId41"/>
  <legacyDrawing r:id="rId39"/>
  <tableParts>
    <tablePart r:id="rId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404</v>
      </c>
      <c r="Z2" s="13" t="s">
        <v>408</v>
      </c>
      <c r="AA2" s="13" t="s">
        <v>414</v>
      </c>
      <c r="AB2" s="13" t="s">
        <v>433</v>
      </c>
      <c r="AC2" s="13" t="s">
        <v>448</v>
      </c>
      <c r="AD2" s="13" t="s">
        <v>456</v>
      </c>
      <c r="AE2" s="13" t="s">
        <v>458</v>
      </c>
      <c r="AF2" s="13" t="s">
        <v>463</v>
      </c>
      <c r="AG2" s="67" t="s">
        <v>509</v>
      </c>
      <c r="AH2" s="67" t="s">
        <v>510</v>
      </c>
      <c r="AI2" s="67" t="s">
        <v>511</v>
      </c>
      <c r="AJ2" s="67" t="s">
        <v>512</v>
      </c>
      <c r="AK2" s="67" t="s">
        <v>513</v>
      </c>
      <c r="AL2" s="67" t="s">
        <v>514</v>
      </c>
      <c r="AM2" s="67" t="s">
        <v>515</v>
      </c>
      <c r="AN2" s="67" t="s">
        <v>516</v>
      </c>
      <c r="AO2" s="67" t="s">
        <v>519</v>
      </c>
    </row>
    <row r="3" spans="1:41" ht="15">
      <c r="A3" s="128" t="s">
        <v>391</v>
      </c>
      <c r="B3" s="129" t="s">
        <v>393</v>
      </c>
      <c r="C3" s="129" t="s">
        <v>56</v>
      </c>
      <c r="D3" s="120"/>
      <c r="E3" s="119"/>
      <c r="F3" s="121" t="s">
        <v>391</v>
      </c>
      <c r="G3" s="122"/>
      <c r="H3" s="122"/>
      <c r="I3" s="123">
        <v>3</v>
      </c>
      <c r="J3" s="124"/>
      <c r="K3" s="51">
        <v>4</v>
      </c>
      <c r="L3" s="51">
        <v>4</v>
      </c>
      <c r="M3" s="51">
        <v>0</v>
      </c>
      <c r="N3" s="51">
        <v>4</v>
      </c>
      <c r="O3" s="51">
        <v>1</v>
      </c>
      <c r="P3" s="52">
        <v>0</v>
      </c>
      <c r="Q3" s="52">
        <v>0</v>
      </c>
      <c r="R3" s="51">
        <v>1</v>
      </c>
      <c r="S3" s="51">
        <v>0</v>
      </c>
      <c r="T3" s="51">
        <v>4</v>
      </c>
      <c r="U3" s="51">
        <v>4</v>
      </c>
      <c r="V3" s="51">
        <v>2</v>
      </c>
      <c r="W3" s="52">
        <v>1.125</v>
      </c>
      <c r="X3" s="52">
        <v>0.25</v>
      </c>
      <c r="Y3" s="85" t="s">
        <v>229</v>
      </c>
      <c r="Z3" s="85" t="s">
        <v>230</v>
      </c>
      <c r="AA3" s="85" t="s">
        <v>232</v>
      </c>
      <c r="AB3" s="93" t="s">
        <v>257</v>
      </c>
      <c r="AC3" s="93" t="s">
        <v>257</v>
      </c>
      <c r="AD3" s="93" t="s">
        <v>457</v>
      </c>
      <c r="AE3" s="93" t="s">
        <v>219</v>
      </c>
      <c r="AF3" s="93" t="s">
        <v>464</v>
      </c>
      <c r="AG3" s="131">
        <v>3</v>
      </c>
      <c r="AH3" s="134">
        <v>18.75</v>
      </c>
      <c r="AI3" s="131">
        <v>1</v>
      </c>
      <c r="AJ3" s="134">
        <v>6.25</v>
      </c>
      <c r="AK3" s="131">
        <v>0</v>
      </c>
      <c r="AL3" s="134">
        <v>0</v>
      </c>
      <c r="AM3" s="131">
        <v>12</v>
      </c>
      <c r="AN3" s="134">
        <v>75</v>
      </c>
      <c r="AO3" s="131">
        <v>16</v>
      </c>
    </row>
    <row r="4" spans="1:41" ht="15">
      <c r="A4" s="128" t="s">
        <v>392</v>
      </c>
      <c r="B4" s="129" t="s">
        <v>394</v>
      </c>
      <c r="C4" s="129" t="s">
        <v>56</v>
      </c>
      <c r="D4" s="125"/>
      <c r="E4" s="102"/>
      <c r="F4" s="105" t="s">
        <v>554</v>
      </c>
      <c r="G4" s="109"/>
      <c r="H4" s="109"/>
      <c r="I4" s="126">
        <v>4</v>
      </c>
      <c r="J4" s="112"/>
      <c r="K4" s="51">
        <v>4</v>
      </c>
      <c r="L4" s="51">
        <v>7</v>
      </c>
      <c r="M4" s="51">
        <v>0</v>
      </c>
      <c r="N4" s="51">
        <v>7</v>
      </c>
      <c r="O4" s="51">
        <v>0</v>
      </c>
      <c r="P4" s="52">
        <v>0.16666666666666666</v>
      </c>
      <c r="Q4" s="52">
        <v>0.2857142857142857</v>
      </c>
      <c r="R4" s="51">
        <v>1</v>
      </c>
      <c r="S4" s="51">
        <v>0</v>
      </c>
      <c r="T4" s="51">
        <v>4</v>
      </c>
      <c r="U4" s="51">
        <v>7</v>
      </c>
      <c r="V4" s="51">
        <v>1</v>
      </c>
      <c r="W4" s="52">
        <v>0.75</v>
      </c>
      <c r="X4" s="52">
        <v>0.5833333333333334</v>
      </c>
      <c r="Y4" s="85"/>
      <c r="Z4" s="85"/>
      <c r="AA4" s="85" t="s">
        <v>231</v>
      </c>
      <c r="AB4" s="93" t="s">
        <v>434</v>
      </c>
      <c r="AC4" s="93" t="s">
        <v>449</v>
      </c>
      <c r="AD4" s="93"/>
      <c r="AE4" s="93" t="s">
        <v>459</v>
      </c>
      <c r="AF4" s="93" t="s">
        <v>465</v>
      </c>
      <c r="AG4" s="131">
        <v>3</v>
      </c>
      <c r="AH4" s="134">
        <v>2.7777777777777777</v>
      </c>
      <c r="AI4" s="131">
        <v>3</v>
      </c>
      <c r="AJ4" s="134">
        <v>2.7777777777777777</v>
      </c>
      <c r="AK4" s="131">
        <v>0</v>
      </c>
      <c r="AL4" s="134">
        <v>0</v>
      </c>
      <c r="AM4" s="131">
        <v>102</v>
      </c>
      <c r="AN4" s="134">
        <v>94.44444444444444</v>
      </c>
      <c r="AO4" s="131">
        <v>108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391</v>
      </c>
      <c r="B2" s="93" t="s">
        <v>217</v>
      </c>
      <c r="C2" s="85">
        <f>VLOOKUP(GroupVertices[[#This Row],[Vertex]],Vertices[],MATCH("ID",Vertices[[#Headers],[Vertex]:[Vertex Content Word Count]],0),FALSE)</f>
        <v>6</v>
      </c>
    </row>
    <row r="3" spans="1:3" ht="15">
      <c r="A3" s="85" t="s">
        <v>391</v>
      </c>
      <c r="B3" s="93" t="s">
        <v>221</v>
      </c>
      <c r="C3" s="85">
        <f>VLOOKUP(GroupVertices[[#This Row],[Vertex]],Vertices[],MATCH("ID",Vertices[[#Headers],[Vertex]:[Vertex Content Word Count]],0),FALSE)</f>
        <v>10</v>
      </c>
    </row>
    <row r="4" spans="1:3" ht="15">
      <c r="A4" s="85" t="s">
        <v>391</v>
      </c>
      <c r="B4" s="93" t="s">
        <v>220</v>
      </c>
      <c r="C4" s="85">
        <f>VLOOKUP(GroupVertices[[#This Row],[Vertex]],Vertices[],MATCH("ID",Vertices[[#Headers],[Vertex]:[Vertex Content Word Count]],0),FALSE)</f>
        <v>9</v>
      </c>
    </row>
    <row r="5" spans="1:3" ht="15">
      <c r="A5" s="85" t="s">
        <v>391</v>
      </c>
      <c r="B5" s="93" t="s">
        <v>219</v>
      </c>
      <c r="C5" s="85">
        <f>VLOOKUP(GroupVertices[[#This Row],[Vertex]],Vertices[],MATCH("ID",Vertices[[#Headers],[Vertex]:[Vertex Content Word Count]],0),FALSE)</f>
        <v>8</v>
      </c>
    </row>
    <row r="6" spans="1:3" ht="15">
      <c r="A6" s="85" t="s">
        <v>392</v>
      </c>
      <c r="B6" s="93" t="s">
        <v>216</v>
      </c>
      <c r="C6" s="85">
        <f>VLOOKUP(GroupVertices[[#This Row],[Vertex]],Vertices[],MATCH("ID",Vertices[[#Headers],[Vertex]:[Vertex Content Word Count]],0),FALSE)</f>
        <v>7</v>
      </c>
    </row>
    <row r="7" spans="1:3" ht="15">
      <c r="A7" s="85" t="s">
        <v>392</v>
      </c>
      <c r="B7" s="93" t="s">
        <v>218</v>
      </c>
      <c r="C7" s="85">
        <f>VLOOKUP(GroupVertices[[#This Row],[Vertex]],Vertices[],MATCH("ID",Vertices[[#Headers],[Vertex]:[Vertex Content Word Count]],0),FALSE)</f>
        <v>5</v>
      </c>
    </row>
    <row r="8" spans="1:3" ht="15">
      <c r="A8" s="85" t="s">
        <v>392</v>
      </c>
      <c r="B8" s="93" t="s">
        <v>215</v>
      </c>
      <c r="C8" s="85">
        <f>VLOOKUP(GroupVertices[[#This Row],[Vertex]],Vertices[],MATCH("ID",Vertices[[#Headers],[Vertex]:[Vertex Content Word Count]],0),FALSE)</f>
        <v>4</v>
      </c>
    </row>
    <row r="9" spans="1:3" ht="15">
      <c r="A9" s="85" t="s">
        <v>392</v>
      </c>
      <c r="B9" s="93" t="s">
        <v>214</v>
      </c>
      <c r="C9"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523</v>
      </c>
      <c r="B2" s="36" t="s">
        <v>352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4</v>
      </c>
      <c r="L2" s="39">
        <f>MIN(Vertices[Closeness Centrality])</f>
        <v>0.071429</v>
      </c>
      <c r="M2" s="40">
        <f>COUNTIF(Vertices[Closeness Centrality],"&gt;= "&amp;L2)-COUNTIF(Vertices[Closeness Centrality],"&gt;="&amp;L3)</f>
        <v>4</v>
      </c>
      <c r="N2" s="39">
        <f>MIN(Vertices[Eigenvector Centrality])</f>
        <v>0.053588</v>
      </c>
      <c r="O2" s="40">
        <f>COUNTIF(Vertices[Eigenvector Centrality],"&gt;= "&amp;N2)-COUNTIF(Vertices[Eigenvector Centrality],"&gt;="&amp;N3)</f>
        <v>3</v>
      </c>
      <c r="P2" s="39">
        <f>MIN(Vertices[PageRank])</f>
        <v>0.424896</v>
      </c>
      <c r="Q2" s="40">
        <f>COUNTIF(Vertices[PageRank],"&gt;= "&amp;P2)-COUNTIF(Vertices[PageRank],"&gt;="&amp;P3)</f>
        <v>3</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0.5454545454545454</v>
      </c>
      <c r="K3" s="42">
        <f>COUNTIF(Vertices[Betweenness Centrality],"&gt;= "&amp;J3)-COUNTIF(Vertices[Betweenness Centrality],"&gt;="&amp;J4)</f>
        <v>0</v>
      </c>
      <c r="L3" s="41">
        <f aca="true" t="shared" si="5" ref="L3:L26">L2+($L$57-$L$2)/BinDivisor</f>
        <v>0.07240301818181819</v>
      </c>
      <c r="M3" s="42">
        <f>COUNTIF(Vertices[Closeness Centrality],"&gt;= "&amp;L3)-COUNTIF(Vertices[Closeness Centrality],"&gt;="&amp;L4)</f>
        <v>0</v>
      </c>
      <c r="N3" s="41">
        <f aca="true" t="shared" si="6" ref="N3:N26">N2+($N$57-$N$2)/BinDivisor</f>
        <v>0.05655434545454545</v>
      </c>
      <c r="O3" s="42">
        <f>COUNTIF(Vertices[Eigenvector Centrality],"&gt;= "&amp;N3)-COUNTIF(Vertices[Eigenvector Centrality],"&gt;="&amp;N4)</f>
        <v>0</v>
      </c>
      <c r="P3" s="41">
        <f aca="true" t="shared" si="7" ref="P3:P26">P2+($P$57-$P$2)/BinDivisor</f>
        <v>0.4583319818181818</v>
      </c>
      <c r="Q3" s="42">
        <f>COUNTIF(Vertices[PageRank],"&gt;= "&amp;P3)-COUNTIF(Vertices[PageRank],"&gt;="&amp;P4)</f>
        <v>0</v>
      </c>
      <c r="R3" s="41">
        <f aca="true" t="shared" si="8" ref="R3:R26">R2+($R$57-$R$2)/BinDivisor</f>
        <v>0.012121212121212121</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0.14545454545454545</v>
      </c>
      <c r="G4" s="40">
        <f>COUNTIF(Vertices[In-Degree],"&gt;= "&amp;F4)-COUNTIF(Vertices[In-Degree],"&gt;="&amp;F5)</f>
        <v>0</v>
      </c>
      <c r="H4" s="39">
        <f t="shared" si="3"/>
        <v>0.14545454545454545</v>
      </c>
      <c r="I4" s="40">
        <f>COUNTIF(Vertices[Out-Degree],"&gt;= "&amp;H4)-COUNTIF(Vertices[Out-Degree],"&gt;="&amp;H5)</f>
        <v>0</v>
      </c>
      <c r="J4" s="39">
        <f t="shared" si="4"/>
        <v>1.0909090909090908</v>
      </c>
      <c r="K4" s="40">
        <f>COUNTIF(Vertices[Betweenness Centrality],"&gt;= "&amp;J4)-COUNTIF(Vertices[Betweenness Centrality],"&gt;="&amp;J5)</f>
        <v>0</v>
      </c>
      <c r="L4" s="39">
        <f t="shared" si="5"/>
        <v>0.07337703636363636</v>
      </c>
      <c r="M4" s="40">
        <f>COUNTIF(Vertices[Closeness Centrality],"&gt;= "&amp;L4)-COUNTIF(Vertices[Closeness Centrality],"&gt;="&amp;L5)</f>
        <v>0</v>
      </c>
      <c r="N4" s="39">
        <f t="shared" si="6"/>
        <v>0.0595206909090909</v>
      </c>
      <c r="O4" s="40">
        <f>COUNTIF(Vertices[Eigenvector Centrality],"&gt;= "&amp;N4)-COUNTIF(Vertices[Eigenvector Centrality],"&gt;="&amp;N5)</f>
        <v>0</v>
      </c>
      <c r="P4" s="39">
        <f t="shared" si="7"/>
        <v>0.4917679636363636</v>
      </c>
      <c r="Q4" s="40">
        <f>COUNTIF(Vertices[PageRank],"&gt;= "&amp;P4)-COUNTIF(Vertices[PageRank],"&gt;="&amp;P5)</f>
        <v>0</v>
      </c>
      <c r="R4" s="39">
        <f t="shared" si="8"/>
        <v>0.024242424242424242</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0.21818181818181817</v>
      </c>
      <c r="G5" s="42">
        <f>COUNTIF(Vertices[In-Degree],"&gt;= "&amp;F5)-COUNTIF(Vertices[In-Degree],"&gt;="&amp;F6)</f>
        <v>0</v>
      </c>
      <c r="H5" s="41">
        <f t="shared" si="3"/>
        <v>0.21818181818181817</v>
      </c>
      <c r="I5" s="42">
        <f>COUNTIF(Vertices[Out-Degree],"&gt;= "&amp;H5)-COUNTIF(Vertices[Out-Degree],"&gt;="&amp;H6)</f>
        <v>0</v>
      </c>
      <c r="J5" s="41">
        <f t="shared" si="4"/>
        <v>1.6363636363636362</v>
      </c>
      <c r="K5" s="42">
        <f>COUNTIF(Vertices[Betweenness Centrality],"&gt;= "&amp;J5)-COUNTIF(Vertices[Betweenness Centrality],"&gt;="&amp;J6)</f>
        <v>0</v>
      </c>
      <c r="L5" s="41">
        <f t="shared" si="5"/>
        <v>0.07435105454545454</v>
      </c>
      <c r="M5" s="42">
        <f>COUNTIF(Vertices[Closeness Centrality],"&gt;= "&amp;L5)-COUNTIF(Vertices[Closeness Centrality],"&gt;="&amp;L6)</f>
        <v>0</v>
      </c>
      <c r="N5" s="41">
        <f t="shared" si="6"/>
        <v>0.06248703636363635</v>
      </c>
      <c r="O5" s="42">
        <f>COUNTIF(Vertices[Eigenvector Centrality],"&gt;= "&amp;N5)-COUNTIF(Vertices[Eigenvector Centrality],"&gt;="&amp;N6)</f>
        <v>0</v>
      </c>
      <c r="P5" s="41">
        <f t="shared" si="7"/>
        <v>0.5252039454545454</v>
      </c>
      <c r="Q5" s="42">
        <f>COUNTIF(Vertices[PageRank],"&gt;= "&amp;P5)-COUNTIF(Vertices[PageRank],"&gt;="&amp;P6)</f>
        <v>0</v>
      </c>
      <c r="R5" s="41">
        <f t="shared" si="8"/>
        <v>0.03636363636363636</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0.2909090909090909</v>
      </c>
      <c r="G6" s="40">
        <f>COUNTIF(Vertices[In-Degree],"&gt;= "&amp;F6)-COUNTIF(Vertices[In-Degree],"&gt;="&amp;F7)</f>
        <v>0</v>
      </c>
      <c r="H6" s="39">
        <f t="shared" si="3"/>
        <v>0.2909090909090909</v>
      </c>
      <c r="I6" s="40">
        <f>COUNTIF(Vertices[Out-Degree],"&gt;= "&amp;H6)-COUNTIF(Vertices[Out-Degree],"&gt;="&amp;H7)</f>
        <v>0</v>
      </c>
      <c r="J6" s="39">
        <f t="shared" si="4"/>
        <v>2.1818181818181817</v>
      </c>
      <c r="K6" s="40">
        <f>COUNTIF(Vertices[Betweenness Centrality],"&gt;= "&amp;J6)-COUNTIF(Vertices[Betweenness Centrality],"&gt;="&amp;J7)</f>
        <v>3</v>
      </c>
      <c r="L6" s="39">
        <f t="shared" si="5"/>
        <v>0.07532507272727272</v>
      </c>
      <c r="M6" s="40">
        <f>COUNTIF(Vertices[Closeness Centrality],"&gt;= "&amp;L6)-COUNTIF(Vertices[Closeness Centrality],"&gt;="&amp;L7)</f>
        <v>0</v>
      </c>
      <c r="N6" s="39">
        <f t="shared" si="6"/>
        <v>0.0654533818181818</v>
      </c>
      <c r="O6" s="40">
        <f>COUNTIF(Vertices[Eigenvector Centrality],"&gt;= "&amp;N6)-COUNTIF(Vertices[Eigenvector Centrality],"&gt;="&amp;N7)</f>
        <v>0</v>
      </c>
      <c r="P6" s="39">
        <f t="shared" si="7"/>
        <v>0.5586399272727273</v>
      </c>
      <c r="Q6" s="40">
        <f>COUNTIF(Vertices[PageRank],"&gt;= "&amp;P6)-COUNTIF(Vertices[PageRank],"&gt;="&amp;P7)</f>
        <v>0</v>
      </c>
      <c r="R6" s="39">
        <f t="shared" si="8"/>
        <v>0.048484848484848485</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0.36363636363636365</v>
      </c>
      <c r="G7" s="42">
        <f>COUNTIF(Vertices[In-Degree],"&gt;= "&amp;F7)-COUNTIF(Vertices[In-Degree],"&gt;="&amp;F8)</f>
        <v>0</v>
      </c>
      <c r="H7" s="41">
        <f t="shared" si="3"/>
        <v>0.36363636363636365</v>
      </c>
      <c r="I7" s="42">
        <f>COUNTIF(Vertices[Out-Degree],"&gt;= "&amp;H7)-COUNTIF(Vertices[Out-Degree],"&gt;="&amp;H8)</f>
        <v>0</v>
      </c>
      <c r="J7" s="41">
        <f t="shared" si="4"/>
        <v>2.727272727272727</v>
      </c>
      <c r="K7" s="42">
        <f>COUNTIF(Vertices[Betweenness Centrality],"&gt;= "&amp;J7)-COUNTIF(Vertices[Betweenness Centrality],"&gt;="&amp;J8)</f>
        <v>0</v>
      </c>
      <c r="L7" s="41">
        <f t="shared" si="5"/>
        <v>0.0762990909090909</v>
      </c>
      <c r="M7" s="42">
        <f>COUNTIF(Vertices[Closeness Centrality],"&gt;= "&amp;L7)-COUNTIF(Vertices[Closeness Centrality],"&gt;="&amp;L8)</f>
        <v>0</v>
      </c>
      <c r="N7" s="41">
        <f t="shared" si="6"/>
        <v>0.06841972727272726</v>
      </c>
      <c r="O7" s="42">
        <f>COUNTIF(Vertices[Eigenvector Centrality],"&gt;= "&amp;N7)-COUNTIF(Vertices[Eigenvector Centrality],"&gt;="&amp;N8)</f>
        <v>0</v>
      </c>
      <c r="P7" s="41">
        <f t="shared" si="7"/>
        <v>0.5920759090909091</v>
      </c>
      <c r="Q7" s="42">
        <f>COUNTIF(Vertices[PageRank],"&gt;= "&amp;P7)-COUNTIF(Vertices[PageRank],"&gt;="&amp;P8)</f>
        <v>0</v>
      </c>
      <c r="R7" s="41">
        <f t="shared" si="8"/>
        <v>0.06060606060606061</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0.4363636363636364</v>
      </c>
      <c r="G8" s="40">
        <f>COUNTIF(Vertices[In-Degree],"&gt;= "&amp;F8)-COUNTIF(Vertices[In-Degree],"&gt;="&amp;F9)</f>
        <v>0</v>
      </c>
      <c r="H8" s="39">
        <f t="shared" si="3"/>
        <v>0.4363636363636364</v>
      </c>
      <c r="I8" s="40">
        <f>COUNTIF(Vertices[Out-Degree],"&gt;= "&amp;H8)-COUNTIF(Vertices[Out-Degree],"&gt;="&amp;H9)</f>
        <v>0</v>
      </c>
      <c r="J8" s="39">
        <f t="shared" si="4"/>
        <v>3.2727272727272725</v>
      </c>
      <c r="K8" s="40">
        <f>COUNTIF(Vertices[Betweenness Centrality],"&gt;= "&amp;J8)-COUNTIF(Vertices[Betweenness Centrality],"&gt;="&amp;J9)</f>
        <v>0</v>
      </c>
      <c r="L8" s="39">
        <f t="shared" si="5"/>
        <v>0.07727310909090908</v>
      </c>
      <c r="M8" s="40">
        <f>COUNTIF(Vertices[Closeness Centrality],"&gt;= "&amp;L8)-COUNTIF(Vertices[Closeness Centrality],"&gt;="&amp;L9)</f>
        <v>0</v>
      </c>
      <c r="N8" s="39">
        <f t="shared" si="6"/>
        <v>0.07138607272727271</v>
      </c>
      <c r="O8" s="40">
        <f>COUNTIF(Vertices[Eigenvector Centrality],"&gt;= "&amp;N8)-COUNTIF(Vertices[Eigenvector Centrality],"&gt;="&amp;N9)</f>
        <v>0</v>
      </c>
      <c r="P8" s="39">
        <f t="shared" si="7"/>
        <v>0.625511890909091</v>
      </c>
      <c r="Q8" s="40">
        <f>COUNTIF(Vertices[PageRank],"&gt;= "&amp;P8)-COUNTIF(Vertices[PageRank],"&gt;="&amp;P9)</f>
        <v>0</v>
      </c>
      <c r="R8" s="39">
        <f t="shared" si="8"/>
        <v>0.07272727272727272</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0.5090909090909091</v>
      </c>
      <c r="G9" s="42">
        <f>COUNTIF(Vertices[In-Degree],"&gt;= "&amp;F9)-COUNTIF(Vertices[In-Degree],"&gt;="&amp;F10)</f>
        <v>0</v>
      </c>
      <c r="H9" s="41">
        <f t="shared" si="3"/>
        <v>0.5090909090909091</v>
      </c>
      <c r="I9" s="42">
        <f>COUNTIF(Vertices[Out-Degree],"&gt;= "&amp;H9)-COUNTIF(Vertices[Out-Degree],"&gt;="&amp;H10)</f>
        <v>0</v>
      </c>
      <c r="J9" s="41">
        <f t="shared" si="4"/>
        <v>3.818181818181818</v>
      </c>
      <c r="K9" s="42">
        <f>COUNTIF(Vertices[Betweenness Centrality],"&gt;= "&amp;J9)-COUNTIF(Vertices[Betweenness Centrality],"&gt;="&amp;J10)</f>
        <v>0</v>
      </c>
      <c r="L9" s="41">
        <f t="shared" si="5"/>
        <v>0.07824712727272726</v>
      </c>
      <c r="M9" s="42">
        <f>COUNTIF(Vertices[Closeness Centrality],"&gt;= "&amp;L9)-COUNTIF(Vertices[Closeness Centrality],"&gt;="&amp;L10)</f>
        <v>0</v>
      </c>
      <c r="N9" s="41">
        <f t="shared" si="6"/>
        <v>0.07435241818181816</v>
      </c>
      <c r="O9" s="42">
        <f>COUNTIF(Vertices[Eigenvector Centrality],"&gt;= "&amp;N9)-COUNTIF(Vertices[Eigenvector Centrality],"&gt;="&amp;N10)</f>
        <v>0</v>
      </c>
      <c r="P9" s="41">
        <f t="shared" si="7"/>
        <v>0.6589478727272728</v>
      </c>
      <c r="Q9" s="42">
        <f>COUNTIF(Vertices[PageRank],"&gt;= "&amp;P9)-COUNTIF(Vertices[PageRank],"&gt;="&amp;P10)</f>
        <v>0</v>
      </c>
      <c r="R9" s="41">
        <f t="shared" si="8"/>
        <v>0.08484848484848484</v>
      </c>
      <c r="S9" s="46">
        <f>COUNTIF(Vertices[Clustering Coefficient],"&gt;= "&amp;R9)-COUNTIF(Vertices[Clustering Coefficient],"&gt;="&amp;R10)</f>
        <v>0</v>
      </c>
      <c r="T9" s="41" t="e">
        <f ca="1" t="shared" si="9"/>
        <v>#REF!</v>
      </c>
      <c r="U9" s="42" t="e">
        <f ca="1" t="shared" si="0"/>
        <v>#REF!</v>
      </c>
    </row>
    <row r="10" spans="1:21" ht="15">
      <c r="A10" s="36" t="s">
        <v>151</v>
      </c>
      <c r="B10" s="36">
        <v>1</v>
      </c>
      <c r="D10" s="34">
        <f t="shared" si="1"/>
        <v>0</v>
      </c>
      <c r="E10" s="3">
        <f>COUNTIF(Vertices[Degree],"&gt;= "&amp;D10)-COUNTIF(Vertices[Degree],"&gt;="&amp;D11)</f>
        <v>0</v>
      </c>
      <c r="F10" s="39">
        <f t="shared" si="2"/>
        <v>0.5818181818181819</v>
      </c>
      <c r="G10" s="40">
        <f>COUNTIF(Vertices[In-Degree],"&gt;= "&amp;F10)-COUNTIF(Vertices[In-Degree],"&gt;="&amp;F11)</f>
        <v>0</v>
      </c>
      <c r="H10" s="39">
        <f t="shared" si="3"/>
        <v>0.5818181818181819</v>
      </c>
      <c r="I10" s="40">
        <f>COUNTIF(Vertices[Out-Degree],"&gt;= "&amp;H10)-COUNTIF(Vertices[Out-Degree],"&gt;="&amp;H11)</f>
        <v>0</v>
      </c>
      <c r="J10" s="39">
        <f t="shared" si="4"/>
        <v>4.363636363636363</v>
      </c>
      <c r="K10" s="40">
        <f>COUNTIF(Vertices[Betweenness Centrality],"&gt;= "&amp;J10)-COUNTIF(Vertices[Betweenness Centrality],"&gt;="&amp;J11)</f>
        <v>0</v>
      </c>
      <c r="L10" s="39">
        <f t="shared" si="5"/>
        <v>0.07922114545454544</v>
      </c>
      <c r="M10" s="40">
        <f>COUNTIF(Vertices[Closeness Centrality],"&gt;= "&amp;L10)-COUNTIF(Vertices[Closeness Centrality],"&gt;="&amp;L11)</f>
        <v>0</v>
      </c>
      <c r="N10" s="39">
        <f t="shared" si="6"/>
        <v>0.07731876363636361</v>
      </c>
      <c r="O10" s="40">
        <f>COUNTIF(Vertices[Eigenvector Centrality],"&gt;= "&amp;N10)-COUNTIF(Vertices[Eigenvector Centrality],"&gt;="&amp;N11)</f>
        <v>0</v>
      </c>
      <c r="P10" s="39">
        <f t="shared" si="7"/>
        <v>0.6923838545454547</v>
      </c>
      <c r="Q10" s="40">
        <f>COUNTIF(Vertices[PageRank],"&gt;= "&amp;P10)-COUNTIF(Vertices[PageRank],"&gt;="&amp;P11)</f>
        <v>0</v>
      </c>
      <c r="R10" s="39">
        <f t="shared" si="8"/>
        <v>0.09696969696969696</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0.6545454545454547</v>
      </c>
      <c r="G11" s="42">
        <f>COUNTIF(Vertices[In-Degree],"&gt;= "&amp;F11)-COUNTIF(Vertices[In-Degree],"&gt;="&amp;F12)</f>
        <v>0</v>
      </c>
      <c r="H11" s="41">
        <f t="shared" si="3"/>
        <v>0.6545454545454547</v>
      </c>
      <c r="I11" s="42">
        <f>COUNTIF(Vertices[Out-Degree],"&gt;= "&amp;H11)-COUNTIF(Vertices[Out-Degree],"&gt;="&amp;H12)</f>
        <v>0</v>
      </c>
      <c r="J11" s="41">
        <f t="shared" si="4"/>
        <v>4.909090909090908</v>
      </c>
      <c r="K11" s="42">
        <f>COUNTIF(Vertices[Betweenness Centrality],"&gt;= "&amp;J11)-COUNTIF(Vertices[Betweenness Centrality],"&gt;="&amp;J12)</f>
        <v>0</v>
      </c>
      <c r="L11" s="41">
        <f t="shared" si="5"/>
        <v>0.08019516363636361</v>
      </c>
      <c r="M11" s="42">
        <f>COUNTIF(Vertices[Closeness Centrality],"&gt;= "&amp;L11)-COUNTIF(Vertices[Closeness Centrality],"&gt;="&amp;L12)</f>
        <v>0</v>
      </c>
      <c r="N11" s="41">
        <f t="shared" si="6"/>
        <v>0.08028510909090907</v>
      </c>
      <c r="O11" s="42">
        <f>COUNTIF(Vertices[Eigenvector Centrality],"&gt;= "&amp;N11)-COUNTIF(Vertices[Eigenvector Centrality],"&gt;="&amp;N12)</f>
        <v>0</v>
      </c>
      <c r="P11" s="41">
        <f t="shared" si="7"/>
        <v>0.7258198363636366</v>
      </c>
      <c r="Q11" s="42">
        <f>COUNTIF(Vertices[PageRank],"&gt;= "&amp;P11)-COUNTIF(Vertices[PageRank],"&gt;="&amp;P12)</f>
        <v>0</v>
      </c>
      <c r="R11" s="41">
        <f t="shared" si="8"/>
        <v>0.10909090909090907</v>
      </c>
      <c r="S11" s="46">
        <f>COUNTIF(Vertices[Clustering Coefficient],"&gt;= "&amp;R11)-COUNTIF(Vertices[Clustering Coefficient],"&gt;="&amp;R12)</f>
        <v>0</v>
      </c>
      <c r="T11" s="41" t="e">
        <f ca="1" t="shared" si="9"/>
        <v>#REF!</v>
      </c>
      <c r="U11" s="42" t="e">
        <f ca="1" t="shared" si="0"/>
        <v>#REF!</v>
      </c>
    </row>
    <row r="12" spans="1:21" ht="15">
      <c r="A12" s="36" t="s">
        <v>170</v>
      </c>
      <c r="B12" s="36">
        <v>0.08333333333333333</v>
      </c>
      <c r="D12" s="34">
        <f t="shared" si="1"/>
        <v>0</v>
      </c>
      <c r="E12" s="3">
        <f>COUNTIF(Vertices[Degree],"&gt;= "&amp;D12)-COUNTIF(Vertices[Degree],"&gt;="&amp;D13)</f>
        <v>0</v>
      </c>
      <c r="F12" s="39">
        <f t="shared" si="2"/>
        <v>0.7272727272727274</v>
      </c>
      <c r="G12" s="40">
        <f>COUNTIF(Vertices[In-Degree],"&gt;= "&amp;F12)-COUNTIF(Vertices[In-Degree],"&gt;="&amp;F13)</f>
        <v>0</v>
      </c>
      <c r="H12" s="39">
        <f t="shared" si="3"/>
        <v>0.7272727272727274</v>
      </c>
      <c r="I12" s="40">
        <f>COUNTIF(Vertices[Out-Degree],"&gt;= "&amp;H12)-COUNTIF(Vertices[Out-Degree],"&gt;="&amp;H13)</f>
        <v>0</v>
      </c>
      <c r="J12" s="39">
        <f t="shared" si="4"/>
        <v>5.454545454545453</v>
      </c>
      <c r="K12" s="40">
        <f>COUNTIF(Vertices[Betweenness Centrality],"&gt;= "&amp;J12)-COUNTIF(Vertices[Betweenness Centrality],"&gt;="&amp;J13)</f>
        <v>0</v>
      </c>
      <c r="L12" s="39">
        <f t="shared" si="5"/>
        <v>0.0811691818181818</v>
      </c>
      <c r="M12" s="40">
        <f>COUNTIF(Vertices[Closeness Centrality],"&gt;= "&amp;L12)-COUNTIF(Vertices[Closeness Centrality],"&gt;="&amp;L13)</f>
        <v>0</v>
      </c>
      <c r="N12" s="39">
        <f t="shared" si="6"/>
        <v>0.08325145454545452</v>
      </c>
      <c r="O12" s="40">
        <f>COUNTIF(Vertices[Eigenvector Centrality],"&gt;= "&amp;N12)-COUNTIF(Vertices[Eigenvector Centrality],"&gt;="&amp;N13)</f>
        <v>0</v>
      </c>
      <c r="P12" s="39">
        <f t="shared" si="7"/>
        <v>0.7592558181818184</v>
      </c>
      <c r="Q12" s="40">
        <f>COUNTIF(Vertices[PageRank],"&gt;= "&amp;P12)-COUNTIF(Vertices[PageRank],"&gt;="&amp;P13)</f>
        <v>0</v>
      </c>
      <c r="R12" s="39">
        <f t="shared" si="8"/>
        <v>0.12121212121212119</v>
      </c>
      <c r="S12" s="45">
        <f>COUNTIF(Vertices[Clustering Coefficient],"&gt;= "&amp;R12)-COUNTIF(Vertices[Clustering Coefficient],"&gt;="&amp;R13)</f>
        <v>0</v>
      </c>
      <c r="T12" s="39" t="e">
        <f ca="1" t="shared" si="9"/>
        <v>#REF!</v>
      </c>
      <c r="U12" s="40" t="e">
        <f ca="1" t="shared" si="0"/>
        <v>#REF!</v>
      </c>
    </row>
    <row r="13" spans="1:21" ht="15">
      <c r="A13" s="36" t="s">
        <v>171</v>
      </c>
      <c r="B13" s="36">
        <v>0.15384615384615385</v>
      </c>
      <c r="D13" s="34">
        <f t="shared" si="1"/>
        <v>0</v>
      </c>
      <c r="E13" s="3">
        <f>COUNTIF(Vertices[Degree],"&gt;= "&amp;D13)-COUNTIF(Vertices[Degree],"&gt;="&amp;D14)</f>
        <v>0</v>
      </c>
      <c r="F13" s="41">
        <f t="shared" si="2"/>
        <v>0.8000000000000002</v>
      </c>
      <c r="G13" s="42">
        <f>COUNTIF(Vertices[In-Degree],"&gt;= "&amp;F13)-COUNTIF(Vertices[In-Degree],"&gt;="&amp;F14)</f>
        <v>0</v>
      </c>
      <c r="H13" s="41">
        <f t="shared" si="3"/>
        <v>0.8000000000000002</v>
      </c>
      <c r="I13" s="42">
        <f>COUNTIF(Vertices[Out-Degree],"&gt;= "&amp;H13)-COUNTIF(Vertices[Out-Degree],"&gt;="&amp;H14)</f>
        <v>0</v>
      </c>
      <c r="J13" s="41">
        <f t="shared" si="4"/>
        <v>5.999999999999998</v>
      </c>
      <c r="K13" s="42">
        <f>COUNTIF(Vertices[Betweenness Centrality],"&gt;= "&amp;J13)-COUNTIF(Vertices[Betweenness Centrality],"&gt;="&amp;J14)</f>
        <v>0</v>
      </c>
      <c r="L13" s="41">
        <f t="shared" si="5"/>
        <v>0.08214319999999997</v>
      </c>
      <c r="M13" s="42">
        <f>COUNTIF(Vertices[Closeness Centrality],"&gt;= "&amp;L13)-COUNTIF(Vertices[Closeness Centrality],"&gt;="&amp;L14)</f>
        <v>0</v>
      </c>
      <c r="N13" s="41">
        <f t="shared" si="6"/>
        <v>0.08621779999999997</v>
      </c>
      <c r="O13" s="42">
        <f>COUNTIF(Vertices[Eigenvector Centrality],"&gt;= "&amp;N13)-COUNTIF(Vertices[Eigenvector Centrality],"&gt;="&amp;N14)</f>
        <v>0</v>
      </c>
      <c r="P13" s="41">
        <f t="shared" si="7"/>
        <v>0.7926918000000003</v>
      </c>
      <c r="Q13" s="42">
        <f>COUNTIF(Vertices[PageRank],"&gt;= "&amp;P13)-COUNTIF(Vertices[PageRank],"&gt;="&amp;P14)</f>
        <v>0</v>
      </c>
      <c r="R13" s="41">
        <f t="shared" si="8"/>
        <v>0.1333333333333333</v>
      </c>
      <c r="S13" s="46">
        <f>COUNTIF(Vertices[Clustering Coefficient],"&gt;= "&amp;R13)-COUNTIF(Vertices[Clustering Coefficient],"&gt;="&amp;R14)</f>
        <v>1</v>
      </c>
      <c r="T13" s="41" t="e">
        <f ca="1" t="shared" si="9"/>
        <v>#REF!</v>
      </c>
      <c r="U13" s="42" t="e">
        <f ca="1" t="shared" si="0"/>
        <v>#REF!</v>
      </c>
    </row>
    <row r="14" spans="1:21" ht="15">
      <c r="A14" s="137"/>
      <c r="B14" s="137"/>
      <c r="D14" s="34">
        <f t="shared" si="1"/>
        <v>0</v>
      </c>
      <c r="E14" s="3">
        <f>COUNTIF(Vertices[Degree],"&gt;= "&amp;D14)-COUNTIF(Vertices[Degree],"&gt;="&amp;D15)</f>
        <v>0</v>
      </c>
      <c r="F14" s="39">
        <f t="shared" si="2"/>
        <v>0.8727272727272729</v>
      </c>
      <c r="G14" s="40">
        <f>COUNTIF(Vertices[In-Degree],"&gt;= "&amp;F14)-COUNTIF(Vertices[In-Degree],"&gt;="&amp;F15)</f>
        <v>0</v>
      </c>
      <c r="H14" s="39">
        <f t="shared" si="3"/>
        <v>0.8727272727272729</v>
      </c>
      <c r="I14" s="40">
        <f>COUNTIF(Vertices[Out-Degree],"&gt;= "&amp;H14)-COUNTIF(Vertices[Out-Degree],"&gt;="&amp;H15)</f>
        <v>0</v>
      </c>
      <c r="J14" s="39">
        <f t="shared" si="4"/>
        <v>6.545454545454543</v>
      </c>
      <c r="K14" s="40">
        <f>COUNTIF(Vertices[Betweenness Centrality],"&gt;= "&amp;J14)-COUNTIF(Vertices[Betweenness Centrality],"&gt;="&amp;J15)</f>
        <v>0</v>
      </c>
      <c r="L14" s="39">
        <f t="shared" si="5"/>
        <v>0.08311721818181815</v>
      </c>
      <c r="M14" s="40">
        <f>COUNTIF(Vertices[Closeness Centrality],"&gt;= "&amp;L14)-COUNTIF(Vertices[Closeness Centrality],"&gt;="&amp;L15)</f>
        <v>0</v>
      </c>
      <c r="N14" s="39">
        <f t="shared" si="6"/>
        <v>0.08918414545454542</v>
      </c>
      <c r="O14" s="40">
        <f>COUNTIF(Vertices[Eigenvector Centrality],"&gt;= "&amp;N14)-COUNTIF(Vertices[Eigenvector Centrality],"&gt;="&amp;N15)</f>
        <v>0</v>
      </c>
      <c r="P14" s="39">
        <f t="shared" si="7"/>
        <v>0.8261277818181821</v>
      </c>
      <c r="Q14" s="40">
        <f>COUNTIF(Vertices[PageRank],"&gt;= "&amp;P14)-COUNTIF(Vertices[PageRank],"&gt;="&amp;P15)</f>
        <v>0</v>
      </c>
      <c r="R14" s="39">
        <f t="shared" si="8"/>
        <v>0.14545454545454542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0.9454545454545457</v>
      </c>
      <c r="G15" s="42">
        <f>COUNTIF(Vertices[In-Degree],"&gt;= "&amp;F15)-COUNTIF(Vertices[In-Degree],"&gt;="&amp;F16)</f>
        <v>3</v>
      </c>
      <c r="H15" s="41">
        <f t="shared" si="3"/>
        <v>0.9454545454545457</v>
      </c>
      <c r="I15" s="42">
        <f>COUNTIF(Vertices[Out-Degree],"&gt;= "&amp;H15)-COUNTIF(Vertices[Out-Degree],"&gt;="&amp;H16)</f>
        <v>0</v>
      </c>
      <c r="J15" s="41">
        <f t="shared" si="4"/>
        <v>7.090909090909088</v>
      </c>
      <c r="K15" s="42">
        <f>COUNTIF(Vertices[Betweenness Centrality],"&gt;= "&amp;J15)-COUNTIF(Vertices[Betweenness Centrality],"&gt;="&amp;J16)</f>
        <v>0</v>
      </c>
      <c r="L15" s="41">
        <f t="shared" si="5"/>
        <v>0.08409123636363633</v>
      </c>
      <c r="M15" s="42">
        <f>COUNTIF(Vertices[Closeness Centrality],"&gt;= "&amp;L15)-COUNTIF(Vertices[Closeness Centrality],"&gt;="&amp;L16)</f>
        <v>0</v>
      </c>
      <c r="N15" s="41">
        <f t="shared" si="6"/>
        <v>0.09215049090909087</v>
      </c>
      <c r="O15" s="42">
        <f>COUNTIF(Vertices[Eigenvector Centrality],"&gt;= "&amp;N15)-COUNTIF(Vertices[Eigenvector Centrality],"&gt;="&amp;N16)</f>
        <v>0</v>
      </c>
      <c r="P15" s="41">
        <f t="shared" si="7"/>
        <v>0.859563763636364</v>
      </c>
      <c r="Q15" s="42">
        <f>COUNTIF(Vertices[PageRank],"&gt;= "&amp;P15)-COUNTIF(Vertices[PageRank],"&gt;="&amp;P16)</f>
        <v>0</v>
      </c>
      <c r="R15" s="41">
        <f t="shared" si="8"/>
        <v>0.15757575757575754</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1.0181818181818183</v>
      </c>
      <c r="G16" s="40">
        <f>COUNTIF(Vertices[In-Degree],"&gt;= "&amp;F16)-COUNTIF(Vertices[In-Degree],"&gt;="&amp;F17)</f>
        <v>0</v>
      </c>
      <c r="H16" s="39">
        <f t="shared" si="3"/>
        <v>1.0181818181818183</v>
      </c>
      <c r="I16" s="40">
        <f>COUNTIF(Vertices[Out-Degree],"&gt;= "&amp;H16)-COUNTIF(Vertices[Out-Degree],"&gt;="&amp;H17)</f>
        <v>0</v>
      </c>
      <c r="J16" s="39">
        <f t="shared" si="4"/>
        <v>7.636363636363633</v>
      </c>
      <c r="K16" s="40">
        <f>COUNTIF(Vertices[Betweenness Centrality],"&gt;= "&amp;J16)-COUNTIF(Vertices[Betweenness Centrality],"&gt;="&amp;J17)</f>
        <v>0</v>
      </c>
      <c r="L16" s="39">
        <f t="shared" si="5"/>
        <v>0.08506525454545451</v>
      </c>
      <c r="M16" s="40">
        <f>COUNTIF(Vertices[Closeness Centrality],"&gt;= "&amp;L16)-COUNTIF(Vertices[Closeness Centrality],"&gt;="&amp;L17)</f>
        <v>0</v>
      </c>
      <c r="N16" s="39">
        <f t="shared" si="6"/>
        <v>0.09511683636363633</v>
      </c>
      <c r="O16" s="40">
        <f>COUNTIF(Vertices[Eigenvector Centrality],"&gt;= "&amp;N16)-COUNTIF(Vertices[Eigenvector Centrality],"&gt;="&amp;N17)</f>
        <v>0</v>
      </c>
      <c r="P16" s="39">
        <f t="shared" si="7"/>
        <v>0.8929997454545459</v>
      </c>
      <c r="Q16" s="40">
        <f>COUNTIF(Vertices[PageRank],"&gt;= "&amp;P16)-COUNTIF(Vertices[PageRank],"&gt;="&amp;P17)</f>
        <v>1</v>
      </c>
      <c r="R16" s="39">
        <f t="shared" si="8"/>
        <v>0.16969696969696965</v>
      </c>
      <c r="S16" s="45">
        <f>COUNTIF(Vertices[Clustering Coefficient],"&gt;= "&amp;R16)-COUNTIF(Vertices[Clustering Coefficient],"&gt;="&amp;R17)</f>
        <v>0</v>
      </c>
      <c r="T16" s="39" t="e">
        <f ca="1" t="shared" si="9"/>
        <v>#REF!</v>
      </c>
      <c r="U16" s="40" t="e">
        <f ca="1" t="shared" si="0"/>
        <v>#REF!</v>
      </c>
    </row>
    <row r="17" spans="1:21" ht="15">
      <c r="A17" s="36" t="s">
        <v>154</v>
      </c>
      <c r="B17" s="36">
        <v>8</v>
      </c>
      <c r="D17" s="34">
        <f t="shared" si="1"/>
        <v>0</v>
      </c>
      <c r="E17" s="3">
        <f>COUNTIF(Vertices[Degree],"&gt;= "&amp;D17)-COUNTIF(Vertices[Degree],"&gt;="&amp;D18)</f>
        <v>0</v>
      </c>
      <c r="F17" s="41">
        <f t="shared" si="2"/>
        <v>1.090909090909091</v>
      </c>
      <c r="G17" s="42">
        <f>COUNTIF(Vertices[In-Degree],"&gt;= "&amp;F17)-COUNTIF(Vertices[In-Degree],"&gt;="&amp;F18)</f>
        <v>0</v>
      </c>
      <c r="H17" s="41">
        <f t="shared" si="3"/>
        <v>1.090909090909091</v>
      </c>
      <c r="I17" s="42">
        <f>COUNTIF(Vertices[Out-Degree],"&gt;= "&amp;H17)-COUNTIF(Vertices[Out-Degree],"&gt;="&amp;H18)</f>
        <v>0</v>
      </c>
      <c r="J17" s="41">
        <f t="shared" si="4"/>
        <v>8.181818181818178</v>
      </c>
      <c r="K17" s="42">
        <f>COUNTIF(Vertices[Betweenness Centrality],"&gt;= "&amp;J17)-COUNTIF(Vertices[Betweenness Centrality],"&gt;="&amp;J18)</f>
        <v>0</v>
      </c>
      <c r="L17" s="41">
        <f t="shared" si="5"/>
        <v>0.08603927272727269</v>
      </c>
      <c r="M17" s="42">
        <f>COUNTIF(Vertices[Closeness Centrality],"&gt;= "&amp;L17)-COUNTIF(Vertices[Closeness Centrality],"&gt;="&amp;L18)</f>
        <v>0</v>
      </c>
      <c r="N17" s="41">
        <f t="shared" si="6"/>
        <v>0.09808318181818178</v>
      </c>
      <c r="O17" s="42">
        <f>COUNTIF(Vertices[Eigenvector Centrality],"&gt;= "&amp;N17)-COUNTIF(Vertices[Eigenvector Centrality],"&gt;="&amp;N18)</f>
        <v>0</v>
      </c>
      <c r="P17" s="41">
        <f t="shared" si="7"/>
        <v>0.9264357272727277</v>
      </c>
      <c r="Q17" s="42">
        <f>COUNTIF(Vertices[PageRank],"&gt;= "&amp;P17)-COUNTIF(Vertices[PageRank],"&gt;="&amp;P18)</f>
        <v>0</v>
      </c>
      <c r="R17" s="41">
        <f t="shared" si="8"/>
        <v>0.18181818181818177</v>
      </c>
      <c r="S17" s="46">
        <f>COUNTIF(Vertices[Clustering Coefficient],"&gt;= "&amp;R17)-COUNTIF(Vertices[Clustering Coefficient],"&gt;="&amp;R18)</f>
        <v>0</v>
      </c>
      <c r="T17" s="41" t="e">
        <f ca="1" t="shared" si="9"/>
        <v>#REF!</v>
      </c>
      <c r="U17" s="42" t="e">
        <f ca="1" t="shared" si="0"/>
        <v>#REF!</v>
      </c>
    </row>
    <row r="18" spans="1:21" ht="15">
      <c r="A18" s="36" t="s">
        <v>155</v>
      </c>
      <c r="B18" s="36">
        <v>14</v>
      </c>
      <c r="D18" s="34">
        <f t="shared" si="1"/>
        <v>0</v>
      </c>
      <c r="E18" s="3">
        <f>COUNTIF(Vertices[Degree],"&gt;= "&amp;D18)-COUNTIF(Vertices[Degree],"&gt;="&amp;D19)</f>
        <v>0</v>
      </c>
      <c r="F18" s="39">
        <f t="shared" si="2"/>
        <v>1.1636363636363638</v>
      </c>
      <c r="G18" s="40">
        <f>COUNTIF(Vertices[In-Degree],"&gt;= "&amp;F18)-COUNTIF(Vertices[In-Degree],"&gt;="&amp;F19)</f>
        <v>0</v>
      </c>
      <c r="H18" s="39">
        <f t="shared" si="3"/>
        <v>1.1636363636363638</v>
      </c>
      <c r="I18" s="40">
        <f>COUNTIF(Vertices[Out-Degree],"&gt;= "&amp;H18)-COUNTIF(Vertices[Out-Degree],"&gt;="&amp;H19)</f>
        <v>0</v>
      </c>
      <c r="J18" s="39">
        <f t="shared" si="4"/>
        <v>8.727272727272723</v>
      </c>
      <c r="K18" s="40">
        <f>COUNTIF(Vertices[Betweenness Centrality],"&gt;= "&amp;J18)-COUNTIF(Vertices[Betweenness Centrality],"&gt;="&amp;J19)</f>
        <v>0</v>
      </c>
      <c r="L18" s="39">
        <f t="shared" si="5"/>
        <v>0.08701329090909087</v>
      </c>
      <c r="M18" s="40">
        <f>COUNTIF(Vertices[Closeness Centrality],"&gt;= "&amp;L18)-COUNTIF(Vertices[Closeness Centrality],"&gt;="&amp;L19)</f>
        <v>0</v>
      </c>
      <c r="N18" s="39">
        <f t="shared" si="6"/>
        <v>0.10104952727272723</v>
      </c>
      <c r="O18" s="40">
        <f>COUNTIF(Vertices[Eigenvector Centrality],"&gt;= "&amp;N18)-COUNTIF(Vertices[Eigenvector Centrality],"&gt;="&amp;N19)</f>
        <v>0</v>
      </c>
      <c r="P18" s="39">
        <f t="shared" si="7"/>
        <v>0.9598717090909096</v>
      </c>
      <c r="Q18" s="40">
        <f>COUNTIF(Vertices[PageRank],"&gt;= "&amp;P18)-COUNTIF(Vertices[PageRank],"&gt;="&amp;P19)</f>
        <v>0</v>
      </c>
      <c r="R18" s="39">
        <f t="shared" si="8"/>
        <v>0.19393939393939388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1.2363636363636366</v>
      </c>
      <c r="G19" s="42">
        <f>COUNTIF(Vertices[In-Degree],"&gt;= "&amp;F19)-COUNTIF(Vertices[In-Degree],"&gt;="&amp;F20)</f>
        <v>0</v>
      </c>
      <c r="H19" s="41">
        <f t="shared" si="3"/>
        <v>1.2363636363636366</v>
      </c>
      <c r="I19" s="42">
        <f>COUNTIF(Vertices[Out-Degree],"&gt;= "&amp;H19)-COUNTIF(Vertices[Out-Degree],"&gt;="&amp;H20)</f>
        <v>0</v>
      </c>
      <c r="J19" s="41">
        <f t="shared" si="4"/>
        <v>9.272727272727268</v>
      </c>
      <c r="K19" s="42">
        <f>COUNTIF(Vertices[Betweenness Centrality],"&gt;= "&amp;J19)-COUNTIF(Vertices[Betweenness Centrality],"&gt;="&amp;J20)</f>
        <v>0</v>
      </c>
      <c r="L19" s="41">
        <f t="shared" si="5"/>
        <v>0.08798730909090904</v>
      </c>
      <c r="M19" s="42">
        <f>COUNTIF(Vertices[Closeness Centrality],"&gt;= "&amp;L19)-COUNTIF(Vertices[Closeness Centrality],"&gt;="&amp;L20)</f>
        <v>0</v>
      </c>
      <c r="N19" s="41">
        <f t="shared" si="6"/>
        <v>0.10401587272727268</v>
      </c>
      <c r="O19" s="42">
        <f>COUNTIF(Vertices[Eigenvector Centrality],"&gt;= "&amp;N19)-COUNTIF(Vertices[Eigenvector Centrality],"&gt;="&amp;N20)</f>
        <v>0</v>
      </c>
      <c r="P19" s="41">
        <f t="shared" si="7"/>
        <v>0.9933076909090914</v>
      </c>
      <c r="Q19" s="42">
        <f>COUNTIF(Vertices[PageRank],"&gt;= "&amp;P19)-COUNTIF(Vertices[PageRank],"&gt;="&amp;P20)</f>
        <v>0</v>
      </c>
      <c r="R19" s="41">
        <f t="shared" si="8"/>
        <v>0.206060606060606</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1.3090909090909093</v>
      </c>
      <c r="G20" s="40">
        <f>COUNTIF(Vertices[In-Degree],"&gt;= "&amp;F20)-COUNTIF(Vertices[In-Degree],"&gt;="&amp;F21)</f>
        <v>0</v>
      </c>
      <c r="H20" s="39">
        <f t="shared" si="3"/>
        <v>1.3090909090909093</v>
      </c>
      <c r="I20" s="40">
        <f>COUNTIF(Vertices[Out-Degree],"&gt;= "&amp;H20)-COUNTIF(Vertices[Out-Degree],"&gt;="&amp;H21)</f>
        <v>0</v>
      </c>
      <c r="J20" s="39">
        <f t="shared" si="4"/>
        <v>9.818181818181813</v>
      </c>
      <c r="K20" s="40">
        <f>COUNTIF(Vertices[Betweenness Centrality],"&gt;= "&amp;J20)-COUNTIF(Vertices[Betweenness Centrality],"&gt;="&amp;J21)</f>
        <v>0</v>
      </c>
      <c r="L20" s="39">
        <f t="shared" si="5"/>
        <v>0.08896132727272722</v>
      </c>
      <c r="M20" s="40">
        <f>COUNTIF(Vertices[Closeness Centrality],"&gt;= "&amp;L20)-COUNTIF(Vertices[Closeness Centrality],"&gt;="&amp;L21)</f>
        <v>0</v>
      </c>
      <c r="N20" s="39">
        <f t="shared" si="6"/>
        <v>0.10698221818181813</v>
      </c>
      <c r="O20" s="40">
        <f>COUNTIF(Vertices[Eigenvector Centrality],"&gt;= "&amp;N20)-COUNTIF(Vertices[Eigenvector Centrality],"&gt;="&amp;N21)</f>
        <v>0</v>
      </c>
      <c r="P20" s="39">
        <f t="shared" si="7"/>
        <v>1.0267436727272732</v>
      </c>
      <c r="Q20" s="40">
        <f>COUNTIF(Vertices[PageRank],"&gt;= "&amp;P20)-COUNTIF(Vertices[PageRank],"&gt;="&amp;P21)</f>
        <v>0</v>
      </c>
      <c r="R20" s="39">
        <f t="shared" si="8"/>
        <v>0.21818181818181812</v>
      </c>
      <c r="S20" s="45">
        <f>COUNTIF(Vertices[Clustering Coefficient],"&gt;= "&amp;R20)-COUNTIF(Vertices[Clustering Coefficient],"&gt;="&amp;R21)</f>
        <v>0</v>
      </c>
      <c r="T20" s="39" t="e">
        <f ca="1" t="shared" si="9"/>
        <v>#REF!</v>
      </c>
      <c r="U20" s="40" t="e">
        <f ca="1" t="shared" si="0"/>
        <v>#REF!</v>
      </c>
    </row>
    <row r="21" spans="1:21" ht="15">
      <c r="A21" s="36" t="s">
        <v>157</v>
      </c>
      <c r="B21" s="36">
        <v>1.46875</v>
      </c>
      <c r="D21" s="34">
        <f t="shared" si="1"/>
        <v>0</v>
      </c>
      <c r="E21" s="3">
        <f>COUNTIF(Vertices[Degree],"&gt;= "&amp;D21)-COUNTIF(Vertices[Degree],"&gt;="&amp;D22)</f>
        <v>0</v>
      </c>
      <c r="F21" s="41">
        <f t="shared" si="2"/>
        <v>1.381818181818182</v>
      </c>
      <c r="G21" s="42">
        <f>COUNTIF(Vertices[In-Degree],"&gt;= "&amp;F21)-COUNTIF(Vertices[In-Degree],"&gt;="&amp;F22)</f>
        <v>0</v>
      </c>
      <c r="H21" s="41">
        <f t="shared" si="3"/>
        <v>1.381818181818182</v>
      </c>
      <c r="I21" s="42">
        <f>COUNTIF(Vertices[Out-Degree],"&gt;= "&amp;H21)-COUNTIF(Vertices[Out-Degree],"&gt;="&amp;H22)</f>
        <v>0</v>
      </c>
      <c r="J21" s="41">
        <f t="shared" si="4"/>
        <v>10.363636363636358</v>
      </c>
      <c r="K21" s="42">
        <f>COUNTIF(Vertices[Betweenness Centrality],"&gt;= "&amp;J21)-COUNTIF(Vertices[Betweenness Centrality],"&gt;="&amp;J22)</f>
        <v>0</v>
      </c>
      <c r="L21" s="41">
        <f t="shared" si="5"/>
        <v>0.0899353454545454</v>
      </c>
      <c r="M21" s="42">
        <f>COUNTIF(Vertices[Closeness Centrality],"&gt;= "&amp;L21)-COUNTIF(Vertices[Closeness Centrality],"&gt;="&amp;L22)</f>
        <v>0</v>
      </c>
      <c r="N21" s="41">
        <f t="shared" si="6"/>
        <v>0.10994856363636359</v>
      </c>
      <c r="O21" s="42">
        <f>COUNTIF(Vertices[Eigenvector Centrality],"&gt;= "&amp;N21)-COUNTIF(Vertices[Eigenvector Centrality],"&gt;="&amp;N22)</f>
        <v>0</v>
      </c>
      <c r="P21" s="41">
        <f t="shared" si="7"/>
        <v>1.060179654545455</v>
      </c>
      <c r="Q21" s="42">
        <f>COUNTIF(Vertices[PageRank],"&gt;= "&amp;P21)-COUNTIF(Vertices[PageRank],"&gt;="&amp;P22)</f>
        <v>0</v>
      </c>
      <c r="R21" s="41">
        <f t="shared" si="8"/>
        <v>0.23030303030303023</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1.4545454545454548</v>
      </c>
      <c r="G22" s="40">
        <f>COUNTIF(Vertices[In-Degree],"&gt;= "&amp;F22)-COUNTIF(Vertices[In-Degree],"&gt;="&amp;F23)</f>
        <v>0</v>
      </c>
      <c r="H22" s="39">
        <f t="shared" si="3"/>
        <v>1.4545454545454548</v>
      </c>
      <c r="I22" s="40">
        <f>COUNTIF(Vertices[Out-Degree],"&gt;= "&amp;H22)-COUNTIF(Vertices[Out-Degree],"&gt;="&amp;H23)</f>
        <v>0</v>
      </c>
      <c r="J22" s="39">
        <f t="shared" si="4"/>
        <v>10.909090909090903</v>
      </c>
      <c r="K22" s="40">
        <f>COUNTIF(Vertices[Betweenness Centrality],"&gt;= "&amp;J22)-COUNTIF(Vertices[Betweenness Centrality],"&gt;="&amp;J23)</f>
        <v>0</v>
      </c>
      <c r="L22" s="39">
        <f t="shared" si="5"/>
        <v>0.09090936363636358</v>
      </c>
      <c r="M22" s="40">
        <f>COUNTIF(Vertices[Closeness Centrality],"&gt;= "&amp;L22)-COUNTIF(Vertices[Closeness Centrality],"&gt;="&amp;L23)</f>
        <v>0</v>
      </c>
      <c r="N22" s="39">
        <f t="shared" si="6"/>
        <v>0.11291490909090904</v>
      </c>
      <c r="O22" s="40">
        <f>COUNTIF(Vertices[Eigenvector Centrality],"&gt;= "&amp;N22)-COUNTIF(Vertices[Eigenvector Centrality],"&gt;="&amp;N23)</f>
        <v>0</v>
      </c>
      <c r="P22" s="39">
        <f t="shared" si="7"/>
        <v>1.0936156363636367</v>
      </c>
      <c r="Q22" s="40">
        <f>COUNTIF(Vertices[PageRank],"&gt;= "&amp;P22)-COUNTIF(Vertices[PageRank],"&gt;="&amp;P23)</f>
        <v>0</v>
      </c>
      <c r="R22" s="39">
        <f t="shared" si="8"/>
        <v>0.24242424242424235</v>
      </c>
      <c r="S22" s="45">
        <f>COUNTIF(Vertices[Clustering Coefficient],"&gt;= "&amp;R22)-COUNTIF(Vertices[Clustering Coefficient],"&gt;="&amp;R23)</f>
        <v>0</v>
      </c>
      <c r="T22" s="39" t="e">
        <f ca="1" t="shared" si="9"/>
        <v>#REF!</v>
      </c>
      <c r="U22" s="40" t="e">
        <f ca="1" t="shared" si="0"/>
        <v>#REF!</v>
      </c>
    </row>
    <row r="23" spans="1:21" ht="15">
      <c r="A23" s="36" t="s">
        <v>158</v>
      </c>
      <c r="B23" s="36">
        <v>0.23214285714285715</v>
      </c>
      <c r="D23" s="34">
        <f t="shared" si="1"/>
        <v>0</v>
      </c>
      <c r="E23" s="3">
        <f>COUNTIF(Vertices[Degree],"&gt;= "&amp;D23)-COUNTIF(Vertices[Degree],"&gt;="&amp;D24)</f>
        <v>0</v>
      </c>
      <c r="F23" s="41">
        <f t="shared" si="2"/>
        <v>1.5272727272727276</v>
      </c>
      <c r="G23" s="42">
        <f>COUNTIF(Vertices[In-Degree],"&gt;= "&amp;F23)-COUNTIF(Vertices[In-Degree],"&gt;="&amp;F24)</f>
        <v>0</v>
      </c>
      <c r="H23" s="41">
        <f t="shared" si="3"/>
        <v>1.5272727272727276</v>
      </c>
      <c r="I23" s="42">
        <f>COUNTIF(Vertices[Out-Degree],"&gt;= "&amp;H23)-COUNTIF(Vertices[Out-Degree],"&gt;="&amp;H24)</f>
        <v>0</v>
      </c>
      <c r="J23" s="41">
        <f t="shared" si="4"/>
        <v>11.454545454545448</v>
      </c>
      <c r="K23" s="42">
        <f>COUNTIF(Vertices[Betweenness Centrality],"&gt;= "&amp;J23)-COUNTIF(Vertices[Betweenness Centrality],"&gt;="&amp;J24)</f>
        <v>0</v>
      </c>
      <c r="L23" s="41">
        <f t="shared" si="5"/>
        <v>0.09188338181818176</v>
      </c>
      <c r="M23" s="42">
        <f>COUNTIF(Vertices[Closeness Centrality],"&gt;= "&amp;L23)-COUNTIF(Vertices[Closeness Centrality],"&gt;="&amp;L24)</f>
        <v>0</v>
      </c>
      <c r="N23" s="41">
        <f t="shared" si="6"/>
        <v>0.11588125454545449</v>
      </c>
      <c r="O23" s="42">
        <f>COUNTIF(Vertices[Eigenvector Centrality],"&gt;= "&amp;N23)-COUNTIF(Vertices[Eigenvector Centrality],"&gt;="&amp;N24)</f>
        <v>0</v>
      </c>
      <c r="P23" s="41">
        <f t="shared" si="7"/>
        <v>1.1270516181818184</v>
      </c>
      <c r="Q23" s="42">
        <f>COUNTIF(Vertices[PageRank],"&gt;= "&amp;P23)-COUNTIF(Vertices[PageRank],"&gt;="&amp;P24)</f>
        <v>0</v>
      </c>
      <c r="R23" s="41">
        <f t="shared" si="8"/>
        <v>0.25454545454545446</v>
      </c>
      <c r="S23" s="46">
        <f>COUNTIF(Vertices[Clustering Coefficient],"&gt;= "&amp;R23)-COUNTIF(Vertices[Clustering Coefficient],"&gt;="&amp;R24)</f>
        <v>0</v>
      </c>
      <c r="T23" s="41" t="e">
        <f ca="1" t="shared" si="9"/>
        <v>#REF!</v>
      </c>
      <c r="U23" s="42" t="e">
        <f ca="1" t="shared" si="0"/>
        <v>#REF!</v>
      </c>
    </row>
    <row r="24" spans="1:21" ht="15">
      <c r="A24" s="36" t="s">
        <v>524</v>
      </c>
      <c r="B24" s="36">
        <v>0.264031</v>
      </c>
      <c r="D24" s="34">
        <f t="shared" si="1"/>
        <v>0</v>
      </c>
      <c r="E24" s="3">
        <f>COUNTIF(Vertices[Degree],"&gt;= "&amp;D24)-COUNTIF(Vertices[Degree],"&gt;="&amp;D25)</f>
        <v>0</v>
      </c>
      <c r="F24" s="39">
        <f t="shared" si="2"/>
        <v>1.6000000000000003</v>
      </c>
      <c r="G24" s="40">
        <f>COUNTIF(Vertices[In-Degree],"&gt;= "&amp;F24)-COUNTIF(Vertices[In-Degree],"&gt;="&amp;F25)</f>
        <v>0</v>
      </c>
      <c r="H24" s="39">
        <f t="shared" si="3"/>
        <v>1.6000000000000003</v>
      </c>
      <c r="I24" s="40">
        <f>COUNTIF(Vertices[Out-Degree],"&gt;= "&amp;H24)-COUNTIF(Vertices[Out-Degree],"&gt;="&amp;H25)</f>
        <v>0</v>
      </c>
      <c r="J24" s="39">
        <f t="shared" si="4"/>
        <v>11.999999999999993</v>
      </c>
      <c r="K24" s="40">
        <f>COUNTIF(Vertices[Betweenness Centrality],"&gt;= "&amp;J24)-COUNTIF(Vertices[Betweenness Centrality],"&gt;="&amp;J25)</f>
        <v>0</v>
      </c>
      <c r="L24" s="39">
        <f t="shared" si="5"/>
        <v>0.09285739999999994</v>
      </c>
      <c r="M24" s="40">
        <f>COUNTIF(Vertices[Closeness Centrality],"&gt;= "&amp;L24)-COUNTIF(Vertices[Closeness Centrality],"&gt;="&amp;L25)</f>
        <v>0</v>
      </c>
      <c r="N24" s="39">
        <f t="shared" si="6"/>
        <v>0.11884759999999994</v>
      </c>
      <c r="O24" s="40">
        <f>COUNTIF(Vertices[Eigenvector Centrality],"&gt;= "&amp;N24)-COUNTIF(Vertices[Eigenvector Centrality],"&gt;="&amp;N25)</f>
        <v>0</v>
      </c>
      <c r="P24" s="39">
        <f t="shared" si="7"/>
        <v>1.1604876000000002</v>
      </c>
      <c r="Q24" s="40">
        <f>COUNTIF(Vertices[PageRank],"&gt;= "&amp;P24)-COUNTIF(Vertices[PageRank],"&gt;="&amp;P25)</f>
        <v>3</v>
      </c>
      <c r="R24" s="39">
        <f t="shared" si="8"/>
        <v>0.2666666666666666</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1.672727272727273</v>
      </c>
      <c r="G25" s="42">
        <f>COUNTIF(Vertices[In-Degree],"&gt;= "&amp;F25)-COUNTIF(Vertices[In-Degree],"&gt;="&amp;F26)</f>
        <v>0</v>
      </c>
      <c r="H25" s="41">
        <f t="shared" si="3"/>
        <v>1.672727272727273</v>
      </c>
      <c r="I25" s="42">
        <f>COUNTIF(Vertices[Out-Degree],"&gt;= "&amp;H25)-COUNTIF(Vertices[Out-Degree],"&gt;="&amp;H26)</f>
        <v>0</v>
      </c>
      <c r="J25" s="41">
        <f t="shared" si="4"/>
        <v>12.545454545454538</v>
      </c>
      <c r="K25" s="42">
        <f>COUNTIF(Vertices[Betweenness Centrality],"&gt;= "&amp;J25)-COUNTIF(Vertices[Betweenness Centrality],"&gt;="&amp;J26)</f>
        <v>0</v>
      </c>
      <c r="L25" s="41">
        <f t="shared" si="5"/>
        <v>0.09383141818181812</v>
      </c>
      <c r="M25" s="42">
        <f>COUNTIF(Vertices[Closeness Centrality],"&gt;= "&amp;L25)-COUNTIF(Vertices[Closeness Centrality],"&gt;="&amp;L26)</f>
        <v>0</v>
      </c>
      <c r="N25" s="41">
        <f t="shared" si="6"/>
        <v>0.1218139454545454</v>
      </c>
      <c r="O25" s="42">
        <f>COUNTIF(Vertices[Eigenvector Centrality],"&gt;= "&amp;N25)-COUNTIF(Vertices[Eigenvector Centrality],"&gt;="&amp;N26)</f>
        <v>1</v>
      </c>
      <c r="P25" s="41">
        <f t="shared" si="7"/>
        <v>1.193923581818182</v>
      </c>
      <c r="Q25" s="42">
        <f>COUNTIF(Vertices[PageRank],"&gt;= "&amp;P25)-COUNTIF(Vertices[PageRank],"&gt;="&amp;P26)</f>
        <v>0</v>
      </c>
      <c r="R25" s="41">
        <f t="shared" si="8"/>
        <v>0.27878787878787875</v>
      </c>
      <c r="S25" s="46">
        <f>COUNTIF(Vertices[Clustering Coefficient],"&gt;= "&amp;R25)-COUNTIF(Vertices[Clustering Coefficient],"&gt;="&amp;R26)</f>
        <v>0</v>
      </c>
      <c r="T25" s="41" t="e">
        <f ca="1" t="shared" si="9"/>
        <v>#REF!</v>
      </c>
      <c r="U25" s="42" t="e">
        <f ca="1" t="shared" si="0"/>
        <v>#REF!</v>
      </c>
    </row>
    <row r="26" spans="1:21" ht="15">
      <c r="A26" s="36" t="s">
        <v>525</v>
      </c>
      <c r="B26" s="36" t="s">
        <v>539</v>
      </c>
      <c r="D26" s="34">
        <f t="shared" si="1"/>
        <v>0</v>
      </c>
      <c r="E26" s="3">
        <f>COUNTIF(Vertices[Degree],"&gt;= "&amp;D26)-COUNTIF(Vertices[Degree],"&gt;="&amp;D28)</f>
        <v>0</v>
      </c>
      <c r="F26" s="39">
        <f t="shared" si="2"/>
        <v>1.7454545454545458</v>
      </c>
      <c r="G26" s="40">
        <f>COUNTIF(Vertices[In-Degree],"&gt;= "&amp;F26)-COUNTIF(Vertices[In-Degree],"&gt;="&amp;F28)</f>
        <v>0</v>
      </c>
      <c r="H26" s="39">
        <f t="shared" si="3"/>
        <v>1.7454545454545458</v>
      </c>
      <c r="I26" s="40">
        <f>COUNTIF(Vertices[Out-Degree],"&gt;= "&amp;H26)-COUNTIF(Vertices[Out-Degree],"&gt;="&amp;H28)</f>
        <v>0</v>
      </c>
      <c r="J26" s="39">
        <f t="shared" si="4"/>
        <v>13.090909090909083</v>
      </c>
      <c r="K26" s="40">
        <f>COUNTIF(Vertices[Betweenness Centrality],"&gt;= "&amp;J26)-COUNTIF(Vertices[Betweenness Centrality],"&gt;="&amp;J28)</f>
        <v>0</v>
      </c>
      <c r="L26" s="39">
        <f t="shared" si="5"/>
        <v>0.0948054363636363</v>
      </c>
      <c r="M26" s="40">
        <f>COUNTIF(Vertices[Closeness Centrality],"&gt;= "&amp;L26)-COUNTIF(Vertices[Closeness Centrality],"&gt;="&amp;L28)</f>
        <v>0</v>
      </c>
      <c r="N26" s="39">
        <f t="shared" si="6"/>
        <v>0.12478029090909085</v>
      </c>
      <c r="O26" s="40">
        <f>COUNTIF(Vertices[Eigenvector Centrality],"&gt;= "&amp;N26)-COUNTIF(Vertices[Eigenvector Centrality],"&gt;="&amp;N28)</f>
        <v>0</v>
      </c>
      <c r="P26" s="39">
        <f t="shared" si="7"/>
        <v>1.2273595636363637</v>
      </c>
      <c r="Q26" s="40">
        <f>COUNTIF(Vertices[PageRank],"&gt;= "&amp;P26)-COUNTIF(Vertices[PageRank],"&gt;="&amp;P28)</f>
        <v>0</v>
      </c>
      <c r="R26" s="39">
        <f t="shared" si="8"/>
        <v>0.2909090909090909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7"/>
      <c r="B27" s="137"/>
      <c r="D27" s="34"/>
      <c r="E27" s="3">
        <f>COUNTIF(Vertices[Degree],"&gt;= "&amp;D27)-COUNTIF(Vertices[Degree],"&gt;="&amp;D28)</f>
        <v>0</v>
      </c>
      <c r="F27" s="78"/>
      <c r="G27" s="79">
        <f>COUNTIF(Vertices[In-Degree],"&gt;= "&amp;F27)-COUNTIF(Vertices[In-Degree],"&gt;="&amp;F28)</f>
        <v>-4</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-4</v>
      </c>
      <c r="N27" s="78"/>
      <c r="O27" s="79">
        <f>COUNTIF(Vertices[Eigenvector Centrality],"&gt;= "&amp;N27)-COUNTIF(Vertices[Eigenvector Centrality],"&gt;="&amp;N28)</f>
        <v>-4</v>
      </c>
      <c r="P27" s="78"/>
      <c r="Q27" s="79">
        <f>COUNTIF(Vertices[Eigenvector Centrality],"&gt;= "&amp;P27)-COUNTIF(Vertices[Eigenvector Centrality],"&gt;="&amp;P28)</f>
        <v>0</v>
      </c>
      <c r="R27" s="78"/>
      <c r="S27" s="80">
        <f>COUNTIF(Vertices[Clustering Coefficient],"&gt;= "&amp;R27)-COUNTIF(Vertices[Clustering Coefficient],"&gt;="&amp;R28)</f>
        <v>-4</v>
      </c>
      <c r="T27" s="78"/>
      <c r="U27" s="79">
        <f ca="1">COUNTIF(Vertices[Clustering Coefficient],"&gt;= "&amp;T27)-COUNTIF(Vertices[Clustering Coefficient],"&gt;="&amp;T28)</f>
        <v>0</v>
      </c>
    </row>
    <row r="28" spans="1:21" ht="15">
      <c r="A28" s="36" t="s">
        <v>526</v>
      </c>
      <c r="B28" s="36" t="s">
        <v>85</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1.8181818181818186</v>
      </c>
      <c r="I28" s="42">
        <f>COUNTIF(Vertices[Out-Degree],"&gt;= "&amp;H28)-COUNTIF(Vertices[Out-Degree],"&gt;="&amp;H40)</f>
        <v>0</v>
      </c>
      <c r="J28" s="41">
        <f>J26+($J$57-$J$2)/BinDivisor</f>
        <v>13.636363636363628</v>
      </c>
      <c r="K28" s="42">
        <f>COUNTIF(Vertices[Betweenness Centrality],"&gt;= "&amp;J28)-COUNTIF(Vertices[Betweenness Centrality],"&gt;="&amp;J40)</f>
        <v>0</v>
      </c>
      <c r="L28" s="41">
        <f>L26+($L$57-$L$2)/BinDivisor</f>
        <v>0.09577945454545447</v>
      </c>
      <c r="M28" s="42">
        <f>COUNTIF(Vertices[Closeness Centrality],"&gt;= "&amp;L28)-COUNTIF(Vertices[Closeness Centrality],"&gt;="&amp;L40)</f>
        <v>0</v>
      </c>
      <c r="N28" s="41">
        <f>N26+($N$57-$N$2)/BinDivisor</f>
        <v>0.1277466363636363</v>
      </c>
      <c r="O28" s="42">
        <f>COUNTIF(Vertices[Eigenvector Centrality],"&gt;= "&amp;N28)-COUNTIF(Vertices[Eigenvector Centrality],"&gt;="&amp;N40)</f>
        <v>0</v>
      </c>
      <c r="P28" s="41">
        <f>P26+($P$57-$P$2)/BinDivisor</f>
        <v>1.2607955454545454</v>
      </c>
      <c r="Q28" s="42">
        <f>COUNTIF(Vertices[PageRank],"&gt;= "&amp;P28)-COUNTIF(Vertices[PageRank],"&gt;="&amp;P40)</f>
        <v>0</v>
      </c>
      <c r="R28" s="41">
        <f>R26+($R$57-$R$2)/BinDivisor</f>
        <v>0.30303030303030304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7"/>
      <c r="B29" s="137"/>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527</v>
      </c>
      <c r="B30" s="36" t="s">
        <v>85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528</v>
      </c>
      <c r="B31" s="36" t="s">
        <v>85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529</v>
      </c>
      <c r="B32" s="36" t="s">
        <v>85</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530</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531</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532</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533</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534</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535</v>
      </c>
      <c r="B38" s="36" t="s">
        <v>85</v>
      </c>
      <c r="D38" s="34"/>
      <c r="E38" s="3">
        <f>COUNTIF(Vertices[Degree],"&gt;= "&amp;D38)-COUNTIF(Vertices[Degree],"&gt;="&amp;D40)</f>
        <v>0</v>
      </c>
      <c r="F38" s="78"/>
      <c r="G38" s="79">
        <f>COUNTIF(Vertices[In-Degree],"&gt;= "&amp;F38)-COUNTIF(Vertices[In-Degree],"&gt;="&amp;F40)</f>
        <v>-4</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-4</v>
      </c>
      <c r="N38" s="78"/>
      <c r="O38" s="79">
        <f>COUNTIF(Vertices[Eigenvector Centrality],"&gt;= "&amp;N38)-COUNTIF(Vertices[Eigenvector Centrality],"&gt;="&amp;N40)</f>
        <v>-4</v>
      </c>
      <c r="P38" s="78"/>
      <c r="Q38" s="79">
        <f>COUNTIF(Vertices[Eigenvector Centrality],"&gt;= "&amp;P38)-COUNTIF(Vertices[Eigenvector Centrality],"&gt;="&amp;P40)</f>
        <v>0</v>
      </c>
      <c r="R38" s="78"/>
      <c r="S38" s="80">
        <f>COUNTIF(Vertices[Clustering Coefficient],"&gt;= "&amp;R38)-COUNTIF(Vertices[Clustering Coefficient],"&gt;="&amp;R40)</f>
        <v>-4</v>
      </c>
      <c r="T38" s="78"/>
      <c r="U38" s="79">
        <f ca="1">COUNTIF(Vertices[Clustering Coefficient],"&gt;= "&amp;T38)-COUNTIF(Vertices[Clustering Coefficient],"&gt;="&amp;T40)</f>
        <v>0</v>
      </c>
    </row>
    <row r="39" spans="1:21" ht="15">
      <c r="A39" s="36" t="s">
        <v>21</v>
      </c>
      <c r="B39" s="36" t="s">
        <v>85</v>
      </c>
      <c r="D39" s="34"/>
      <c r="E39" s="3">
        <f>COUNTIF(Vertices[Degree],"&gt;= "&amp;D39)-COUNTIF(Vertices[Degree],"&gt;="&amp;D40)</f>
        <v>0</v>
      </c>
      <c r="F39" s="78"/>
      <c r="G39" s="79">
        <f>COUNTIF(Vertices[In-Degree],"&gt;= "&amp;F39)-COUNTIF(Vertices[In-Degree],"&gt;="&amp;F40)</f>
        <v>-4</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-4</v>
      </c>
      <c r="N39" s="78"/>
      <c r="O39" s="79">
        <f>COUNTIF(Vertices[Eigenvector Centrality],"&gt;= "&amp;N39)-COUNTIF(Vertices[Eigenvector Centrality],"&gt;="&amp;N40)</f>
        <v>-4</v>
      </c>
      <c r="P39" s="78"/>
      <c r="Q39" s="79">
        <f>COUNTIF(Vertices[Eigenvector Centrality],"&gt;= "&amp;P39)-COUNTIF(Vertices[Eigenvector Centrality],"&gt;="&amp;P40)</f>
        <v>0</v>
      </c>
      <c r="R39" s="78"/>
      <c r="S39" s="80">
        <f>COUNTIF(Vertices[Clustering Coefficient],"&gt;= "&amp;R39)-COUNTIF(Vertices[Clustering Coefficient],"&gt;="&amp;R40)</f>
        <v>-4</v>
      </c>
      <c r="T39" s="78"/>
      <c r="U39" s="79">
        <f ca="1">COUNTIF(Vertices[Clustering Coefficient],"&gt;= "&amp;T39)-COUNTIF(Vertices[Clustering Coefficient],"&gt;="&amp;T40)</f>
        <v>0</v>
      </c>
    </row>
    <row r="40" spans="1:21" ht="15">
      <c r="A40" s="36" t="s">
        <v>536</v>
      </c>
      <c r="B40" s="36" t="s">
        <v>85</v>
      </c>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1.8909090909090913</v>
      </c>
      <c r="I40" s="40">
        <f>COUNTIF(Vertices[Out-Degree],"&gt;= "&amp;H40)-COUNTIF(Vertices[Out-Degree],"&gt;="&amp;H41)</f>
        <v>0</v>
      </c>
      <c r="J40" s="39">
        <f>J28+($J$57-$J$2)/BinDivisor</f>
        <v>14.181818181818173</v>
      </c>
      <c r="K40" s="40">
        <f>COUNTIF(Vertices[Betweenness Centrality],"&gt;= "&amp;J40)-COUNTIF(Vertices[Betweenness Centrality],"&gt;="&amp;J41)</f>
        <v>0</v>
      </c>
      <c r="L40" s="39">
        <f>L28+($L$57-$L$2)/BinDivisor</f>
        <v>0.09675347272727265</v>
      </c>
      <c r="M40" s="40">
        <f>COUNTIF(Vertices[Closeness Centrality],"&gt;= "&amp;L40)-COUNTIF(Vertices[Closeness Centrality],"&gt;="&amp;L41)</f>
        <v>0</v>
      </c>
      <c r="N40" s="39">
        <f>N28+($N$57-$N$2)/BinDivisor</f>
        <v>0.13071298181818178</v>
      </c>
      <c r="O40" s="40">
        <f>COUNTIF(Vertices[Eigenvector Centrality],"&gt;= "&amp;N40)-COUNTIF(Vertices[Eigenvector Centrality],"&gt;="&amp;N41)</f>
        <v>0</v>
      </c>
      <c r="P40" s="39">
        <f>P28+($P$57-$P$2)/BinDivisor</f>
        <v>1.2942315272727272</v>
      </c>
      <c r="Q40" s="40">
        <f>COUNTIF(Vertices[PageRank],"&gt;= "&amp;P40)-COUNTIF(Vertices[PageRank],"&gt;="&amp;P41)</f>
        <v>0</v>
      </c>
      <c r="R40" s="39">
        <f>R28+($R$57-$R$2)/BinDivisor</f>
        <v>0.3151515151515152</v>
      </c>
      <c r="S40" s="45">
        <f>COUNTIF(Vertices[Clustering Coefficient],"&gt;= "&amp;R40)-COUNTIF(Vertices[Clustering Coefficient],"&gt;="&amp;R41)</f>
        <v>0</v>
      </c>
      <c r="T40" s="39" t="e">
        <f ca="1">T28+($T$57-$T$2)/BinDivisor</f>
        <v>#REF!</v>
      </c>
      <c r="U40" s="40" t="e">
        <f ca="1" t="shared" si="0"/>
        <v>#REF!</v>
      </c>
    </row>
    <row r="41" spans="1:21" ht="15">
      <c r="A41" s="36" t="s">
        <v>537</v>
      </c>
      <c r="B41" s="36" t="s">
        <v>85</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2</v>
      </c>
      <c r="H41" s="41">
        <f aca="true" t="shared" si="12" ref="H41:H56">H40+($H$57-$H$2)/BinDivisor</f>
        <v>1.963636363636364</v>
      </c>
      <c r="I41" s="42">
        <f>COUNTIF(Vertices[Out-Degree],"&gt;= "&amp;H41)-COUNTIF(Vertices[Out-Degree],"&gt;="&amp;H42)</f>
        <v>0</v>
      </c>
      <c r="J41" s="41">
        <f aca="true" t="shared" si="13" ref="J41:J56">J40+($J$57-$J$2)/BinDivisor</f>
        <v>14.727272727272718</v>
      </c>
      <c r="K41" s="42">
        <f>COUNTIF(Vertices[Betweenness Centrality],"&gt;= "&amp;J41)-COUNTIF(Vertices[Betweenness Centrality],"&gt;="&amp;J42)</f>
        <v>0</v>
      </c>
      <c r="L41" s="41">
        <f aca="true" t="shared" si="14" ref="L41:L56">L40+($L$57-$L$2)/BinDivisor</f>
        <v>0.09772749090909083</v>
      </c>
      <c r="M41" s="42">
        <f>COUNTIF(Vertices[Closeness Centrality],"&gt;= "&amp;L41)-COUNTIF(Vertices[Closeness Centrality],"&gt;="&amp;L42)</f>
        <v>0</v>
      </c>
      <c r="N41" s="41">
        <f aca="true" t="shared" si="15" ref="N41:N56">N40+($N$57-$N$2)/BinDivisor</f>
        <v>0.13367932727272724</v>
      </c>
      <c r="O41" s="42">
        <f>COUNTIF(Vertices[Eigenvector Centrality],"&gt;= "&amp;N41)-COUNTIF(Vertices[Eigenvector Centrality],"&gt;="&amp;N42)</f>
        <v>0</v>
      </c>
      <c r="P41" s="41">
        <f aca="true" t="shared" si="16" ref="P41:P56">P40+($P$57-$P$2)/BinDivisor</f>
        <v>1.327667509090909</v>
      </c>
      <c r="Q41" s="42">
        <f>COUNTIF(Vertices[PageRank],"&gt;= "&amp;P41)-COUNTIF(Vertices[PageRank],"&gt;="&amp;P42)</f>
        <v>0</v>
      </c>
      <c r="R41" s="41">
        <f aca="true" t="shared" si="17" ref="R41:R56">R40+($R$57-$R$2)/BinDivisor</f>
        <v>0.3272727272727273</v>
      </c>
      <c r="S41" s="46">
        <f>COUNTIF(Vertices[Clustering Coefficient],"&gt;= "&amp;R41)-COUNTIF(Vertices[Clustering Coefficient],"&gt;="&amp;R42)</f>
        <v>0</v>
      </c>
      <c r="T41" s="41" t="e">
        <f aca="true" t="shared" si="18" ref="T41:T56">T40+($T$57-$T$2)/BinDivisor</f>
        <v>#REF!</v>
      </c>
      <c r="U41" s="42" t="e">
        <f ca="1" t="shared" si="0"/>
        <v>#REF!</v>
      </c>
    </row>
    <row r="42" spans="1:21" ht="15">
      <c r="A42" s="36" t="s">
        <v>538</v>
      </c>
      <c r="B42" s="36" t="s">
        <v>85</v>
      </c>
      <c r="D42" s="34">
        <f t="shared" si="10"/>
        <v>0</v>
      </c>
      <c r="E42" s="3">
        <f>COUNTIF(Vertices[Degree],"&gt;= "&amp;D42)-COUNTIF(Vertices[Degree],"&gt;="&amp;D43)</f>
        <v>0</v>
      </c>
      <c r="F42" s="39">
        <f t="shared" si="11"/>
        <v>2.0363636363636366</v>
      </c>
      <c r="G42" s="40">
        <f>COUNTIF(Vertices[In-Degree],"&gt;= "&amp;F42)-COUNTIF(Vertices[In-Degree],"&gt;="&amp;F43)</f>
        <v>0</v>
      </c>
      <c r="H42" s="39">
        <f t="shared" si="12"/>
        <v>2.0363636363636366</v>
      </c>
      <c r="I42" s="40">
        <f>COUNTIF(Vertices[Out-Degree],"&gt;= "&amp;H42)-COUNTIF(Vertices[Out-Degree],"&gt;="&amp;H43)</f>
        <v>0</v>
      </c>
      <c r="J42" s="39">
        <f t="shared" si="13"/>
        <v>15.272727272727263</v>
      </c>
      <c r="K42" s="40">
        <f>COUNTIF(Vertices[Betweenness Centrality],"&gt;= "&amp;J42)-COUNTIF(Vertices[Betweenness Centrality],"&gt;="&amp;J43)</f>
        <v>0</v>
      </c>
      <c r="L42" s="39">
        <f t="shared" si="14"/>
        <v>0.09870150909090901</v>
      </c>
      <c r="M42" s="40">
        <f>COUNTIF(Vertices[Closeness Centrality],"&gt;= "&amp;L42)-COUNTIF(Vertices[Closeness Centrality],"&gt;="&amp;L43)</f>
        <v>0</v>
      </c>
      <c r="N42" s="39">
        <f t="shared" si="15"/>
        <v>0.1366456727272727</v>
      </c>
      <c r="O42" s="40">
        <f>COUNTIF(Vertices[Eigenvector Centrality],"&gt;= "&amp;N42)-COUNTIF(Vertices[Eigenvector Centrality],"&gt;="&amp;N43)</f>
        <v>0</v>
      </c>
      <c r="P42" s="39">
        <f t="shared" si="16"/>
        <v>1.3611034909090907</v>
      </c>
      <c r="Q42" s="40">
        <f>COUNTIF(Vertices[PageRank],"&gt;= "&amp;P42)-COUNTIF(Vertices[PageRank],"&gt;="&amp;P43)</f>
        <v>0</v>
      </c>
      <c r="R42" s="39">
        <f t="shared" si="17"/>
        <v>0.33939393939393947</v>
      </c>
      <c r="S42" s="45">
        <f>COUNTIF(Vertices[Clustering Coefficient],"&gt;= "&amp;R42)-COUNTIF(Vertices[Clustering Coefficient],"&gt;="&amp;R43)</f>
        <v>0</v>
      </c>
      <c r="T42" s="39" t="e">
        <f ca="1" t="shared" si="18"/>
        <v>#REF!</v>
      </c>
      <c r="U42" s="40" t="e">
        <f ca="1" t="shared" si="0"/>
        <v>#REF!</v>
      </c>
    </row>
    <row r="43" spans="1:21" ht="15">
      <c r="A43" t="s">
        <v>163</v>
      </c>
      <c r="B43" t="s">
        <v>17</v>
      </c>
      <c r="D43" s="34">
        <f t="shared" si="10"/>
        <v>0</v>
      </c>
      <c r="E43" s="3">
        <f>COUNTIF(Vertices[Degree],"&gt;= "&amp;D43)-COUNTIF(Vertices[Degree],"&gt;="&amp;D44)</f>
        <v>0</v>
      </c>
      <c r="F43" s="41">
        <f t="shared" si="11"/>
        <v>2.1090909090909093</v>
      </c>
      <c r="G43" s="42">
        <f>COUNTIF(Vertices[In-Degree],"&gt;= "&amp;F43)-COUNTIF(Vertices[In-Degree],"&gt;="&amp;F44)</f>
        <v>0</v>
      </c>
      <c r="H43" s="41">
        <f t="shared" si="12"/>
        <v>2.1090909090909093</v>
      </c>
      <c r="I43" s="42">
        <f>COUNTIF(Vertices[Out-Degree],"&gt;= "&amp;H43)-COUNTIF(Vertices[Out-Degree],"&gt;="&amp;H44)</f>
        <v>0</v>
      </c>
      <c r="J43" s="41">
        <f t="shared" si="13"/>
        <v>15.818181818181808</v>
      </c>
      <c r="K43" s="42">
        <f>COUNTIF(Vertices[Betweenness Centrality],"&gt;= "&amp;J43)-COUNTIF(Vertices[Betweenness Centrality],"&gt;="&amp;J44)</f>
        <v>0</v>
      </c>
      <c r="L43" s="41">
        <f t="shared" si="14"/>
        <v>0.09967552727272719</v>
      </c>
      <c r="M43" s="42">
        <f>COUNTIF(Vertices[Closeness Centrality],"&gt;= "&amp;L43)-COUNTIF(Vertices[Closeness Centrality],"&gt;="&amp;L44)</f>
        <v>3</v>
      </c>
      <c r="N43" s="41">
        <f t="shared" si="15"/>
        <v>0.13961201818181818</v>
      </c>
      <c r="O43" s="42">
        <f>COUNTIF(Vertices[Eigenvector Centrality],"&gt;= "&amp;N43)-COUNTIF(Vertices[Eigenvector Centrality],"&gt;="&amp;N44)</f>
        <v>0</v>
      </c>
      <c r="P43" s="41">
        <f t="shared" si="16"/>
        <v>1.3945394727272724</v>
      </c>
      <c r="Q43" s="42">
        <f>COUNTIF(Vertices[PageRank],"&gt;= "&amp;P43)-COUNTIF(Vertices[PageRank],"&gt;="&amp;P44)</f>
        <v>0</v>
      </c>
      <c r="R43" s="41">
        <f t="shared" si="17"/>
        <v>0.3515151515151516</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2.181818181818182</v>
      </c>
      <c r="I44" s="40">
        <f>COUNTIF(Vertices[Out-Degree],"&gt;= "&amp;H44)-COUNTIF(Vertices[Out-Degree],"&gt;="&amp;H45)</f>
        <v>0</v>
      </c>
      <c r="J44" s="39">
        <f t="shared" si="13"/>
        <v>16.363636363636353</v>
      </c>
      <c r="K44" s="40">
        <f>COUNTIF(Vertices[Betweenness Centrality],"&gt;= "&amp;J44)-COUNTIF(Vertices[Betweenness Centrality],"&gt;="&amp;J45)</f>
        <v>0</v>
      </c>
      <c r="L44" s="39">
        <f t="shared" si="14"/>
        <v>0.10064954545454537</v>
      </c>
      <c r="M44" s="40">
        <f>COUNTIF(Vertices[Closeness Centrality],"&gt;= "&amp;L44)-COUNTIF(Vertices[Closeness Centrality],"&gt;="&amp;L45)</f>
        <v>0</v>
      </c>
      <c r="N44" s="39">
        <f t="shared" si="15"/>
        <v>0.14257836363636364</v>
      </c>
      <c r="O44" s="40">
        <f>COUNTIF(Vertices[Eigenvector Centrality],"&gt;= "&amp;N44)-COUNTIF(Vertices[Eigenvector Centrality],"&gt;="&amp;N45)</f>
        <v>0</v>
      </c>
      <c r="P44" s="39">
        <f t="shared" si="16"/>
        <v>1.4279754545454542</v>
      </c>
      <c r="Q44" s="40">
        <f>COUNTIF(Vertices[PageRank],"&gt;= "&amp;P44)-COUNTIF(Vertices[PageRank],"&gt;="&amp;P45)</f>
        <v>0</v>
      </c>
      <c r="R44" s="39">
        <f t="shared" si="17"/>
        <v>0.36363636363636376</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2.254545454545455</v>
      </c>
      <c r="G45" s="42">
        <f>COUNTIF(Vertices[In-Degree],"&gt;= "&amp;F45)-COUNTIF(Vertices[In-Degree],"&gt;="&amp;F46)</f>
        <v>0</v>
      </c>
      <c r="H45" s="41">
        <f t="shared" si="12"/>
        <v>2.254545454545455</v>
      </c>
      <c r="I45" s="42">
        <f>COUNTIF(Vertices[Out-Degree],"&gt;= "&amp;H45)-COUNTIF(Vertices[Out-Degree],"&gt;="&amp;H46)</f>
        <v>0</v>
      </c>
      <c r="J45" s="41">
        <f t="shared" si="13"/>
        <v>16.9090909090909</v>
      </c>
      <c r="K45" s="42">
        <f>COUNTIF(Vertices[Betweenness Centrality],"&gt;= "&amp;J45)-COUNTIF(Vertices[Betweenness Centrality],"&gt;="&amp;J46)</f>
        <v>0</v>
      </c>
      <c r="L45" s="41">
        <f t="shared" si="14"/>
        <v>0.10162356363636355</v>
      </c>
      <c r="M45" s="42">
        <f>COUNTIF(Vertices[Closeness Centrality],"&gt;= "&amp;L45)-COUNTIF(Vertices[Closeness Centrality],"&gt;="&amp;L46)</f>
        <v>0</v>
      </c>
      <c r="N45" s="41">
        <f t="shared" si="15"/>
        <v>0.1455447090909091</v>
      </c>
      <c r="O45" s="42">
        <f>COUNTIF(Vertices[Eigenvector Centrality],"&gt;= "&amp;N45)-COUNTIF(Vertices[Eigenvector Centrality],"&gt;="&amp;N46)</f>
        <v>0</v>
      </c>
      <c r="P45" s="41">
        <f t="shared" si="16"/>
        <v>1.461411436363636</v>
      </c>
      <c r="Q45" s="42">
        <f>COUNTIF(Vertices[PageRank],"&gt;= "&amp;P45)-COUNTIF(Vertices[PageRank],"&gt;="&amp;P46)</f>
        <v>0</v>
      </c>
      <c r="R45" s="41">
        <f t="shared" si="17"/>
        <v>0.3757575757575759</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2.3272727272727276</v>
      </c>
      <c r="G46" s="40">
        <f>COUNTIF(Vertices[In-Degree],"&gt;= "&amp;F46)-COUNTIF(Vertices[In-Degree],"&gt;="&amp;F47)</f>
        <v>0</v>
      </c>
      <c r="H46" s="39">
        <f t="shared" si="12"/>
        <v>2.3272727272727276</v>
      </c>
      <c r="I46" s="40">
        <f>COUNTIF(Vertices[Out-Degree],"&gt;= "&amp;H46)-COUNTIF(Vertices[Out-Degree],"&gt;="&amp;H47)</f>
        <v>0</v>
      </c>
      <c r="J46" s="39">
        <f t="shared" si="13"/>
        <v>17.454545454545446</v>
      </c>
      <c r="K46" s="40">
        <f>COUNTIF(Vertices[Betweenness Centrality],"&gt;= "&amp;J46)-COUNTIF(Vertices[Betweenness Centrality],"&gt;="&amp;J47)</f>
        <v>0</v>
      </c>
      <c r="L46" s="39">
        <f t="shared" si="14"/>
        <v>0.10259758181818172</v>
      </c>
      <c r="M46" s="40">
        <f>COUNTIF(Vertices[Closeness Centrality],"&gt;= "&amp;L46)-COUNTIF(Vertices[Closeness Centrality],"&gt;="&amp;L47)</f>
        <v>0</v>
      </c>
      <c r="N46" s="39">
        <f t="shared" si="15"/>
        <v>0.14851105454545457</v>
      </c>
      <c r="O46" s="40">
        <f>COUNTIF(Vertices[Eigenvector Centrality],"&gt;= "&amp;N46)-COUNTIF(Vertices[Eigenvector Centrality],"&gt;="&amp;N47)</f>
        <v>0</v>
      </c>
      <c r="P46" s="39">
        <f t="shared" si="16"/>
        <v>1.4948474181818177</v>
      </c>
      <c r="Q46" s="40">
        <f>COUNTIF(Vertices[PageRank],"&gt;= "&amp;P46)-COUNTIF(Vertices[PageRank],"&gt;="&amp;P47)</f>
        <v>0</v>
      </c>
      <c r="R46" s="39">
        <f t="shared" si="17"/>
        <v>0.38787878787878804</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2.4000000000000004</v>
      </c>
      <c r="I47" s="42">
        <f>COUNTIF(Vertices[Out-Degree],"&gt;= "&amp;H47)-COUNTIF(Vertices[Out-Degree],"&gt;="&amp;H48)</f>
        <v>0</v>
      </c>
      <c r="J47" s="41">
        <f t="shared" si="13"/>
        <v>17.999999999999993</v>
      </c>
      <c r="K47" s="42">
        <f>COUNTIF(Vertices[Betweenness Centrality],"&gt;= "&amp;J47)-COUNTIF(Vertices[Betweenness Centrality],"&gt;="&amp;J48)</f>
        <v>0</v>
      </c>
      <c r="L47" s="41">
        <f t="shared" si="14"/>
        <v>0.1035715999999999</v>
      </c>
      <c r="M47" s="42">
        <f>COUNTIF(Vertices[Closeness Centrality],"&gt;= "&amp;L47)-COUNTIF(Vertices[Closeness Centrality],"&gt;="&amp;L48)</f>
        <v>0</v>
      </c>
      <c r="N47" s="41">
        <f t="shared" si="15"/>
        <v>0.15147740000000004</v>
      </c>
      <c r="O47" s="42">
        <f>COUNTIF(Vertices[Eigenvector Centrality],"&gt;= "&amp;N47)-COUNTIF(Vertices[Eigenvector Centrality],"&gt;="&amp;N48)</f>
        <v>0</v>
      </c>
      <c r="P47" s="41">
        <f t="shared" si="16"/>
        <v>1.5282833999999994</v>
      </c>
      <c r="Q47" s="42">
        <f>COUNTIF(Vertices[PageRank],"&gt;= "&amp;P47)-COUNTIF(Vertices[PageRank],"&gt;="&amp;P48)</f>
        <v>0</v>
      </c>
      <c r="R47" s="41">
        <f t="shared" si="17"/>
        <v>0.4000000000000002</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2.472727272727273</v>
      </c>
      <c r="I48" s="40">
        <f>COUNTIF(Vertices[Out-Degree],"&gt;= "&amp;H48)-COUNTIF(Vertices[Out-Degree],"&gt;="&amp;H49)</f>
        <v>0</v>
      </c>
      <c r="J48" s="39">
        <f t="shared" si="13"/>
        <v>18.54545454545454</v>
      </c>
      <c r="K48" s="40">
        <f>COUNTIF(Vertices[Betweenness Centrality],"&gt;= "&amp;J48)-COUNTIF(Vertices[Betweenness Centrality],"&gt;="&amp;J49)</f>
        <v>0</v>
      </c>
      <c r="L48" s="39">
        <f t="shared" si="14"/>
        <v>0.10454561818181808</v>
      </c>
      <c r="M48" s="40">
        <f>COUNTIF(Vertices[Closeness Centrality],"&gt;= "&amp;L48)-COUNTIF(Vertices[Closeness Centrality],"&gt;="&amp;L49)</f>
        <v>0</v>
      </c>
      <c r="N48" s="39">
        <f t="shared" si="15"/>
        <v>0.1544437454545455</v>
      </c>
      <c r="O48" s="40">
        <f>COUNTIF(Vertices[Eigenvector Centrality],"&gt;= "&amp;N48)-COUNTIF(Vertices[Eigenvector Centrality],"&gt;="&amp;N49)</f>
        <v>0</v>
      </c>
      <c r="P48" s="39">
        <f t="shared" si="16"/>
        <v>1.5617193818181812</v>
      </c>
      <c r="Q48" s="40">
        <f>COUNTIF(Vertices[PageRank],"&gt;= "&amp;P48)-COUNTIF(Vertices[PageRank],"&gt;="&amp;P49)</f>
        <v>0</v>
      </c>
      <c r="R48" s="39">
        <f t="shared" si="17"/>
        <v>0.41212121212121233</v>
      </c>
      <c r="S48" s="45">
        <f>COUNTIF(Vertices[Clustering Coefficient],"&gt;= "&amp;R48)-COUNTIF(Vertices[Clustering Coefficient],"&gt;="&amp;R49)</f>
        <v>2</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2.545454545454546</v>
      </c>
      <c r="I49" s="42">
        <f>COUNTIF(Vertices[Out-Degree],"&gt;= "&amp;H49)-COUNTIF(Vertices[Out-Degree],"&gt;="&amp;H50)</f>
        <v>0</v>
      </c>
      <c r="J49" s="41">
        <f t="shared" si="13"/>
        <v>19.090909090909086</v>
      </c>
      <c r="K49" s="42">
        <f>COUNTIF(Vertices[Betweenness Centrality],"&gt;= "&amp;J49)-COUNTIF(Vertices[Betweenness Centrality],"&gt;="&amp;J50)</f>
        <v>0</v>
      </c>
      <c r="L49" s="41">
        <f t="shared" si="14"/>
        <v>0.10551963636363626</v>
      </c>
      <c r="M49" s="42">
        <f>COUNTIF(Vertices[Closeness Centrality],"&gt;= "&amp;L49)-COUNTIF(Vertices[Closeness Centrality],"&gt;="&amp;L50)</f>
        <v>0</v>
      </c>
      <c r="N49" s="41">
        <f t="shared" si="15"/>
        <v>0.15741009090909097</v>
      </c>
      <c r="O49" s="42">
        <f>COUNTIF(Vertices[Eigenvector Centrality],"&gt;= "&amp;N49)-COUNTIF(Vertices[Eigenvector Centrality],"&gt;="&amp;N50)</f>
        <v>0</v>
      </c>
      <c r="P49" s="41">
        <f t="shared" si="16"/>
        <v>1.595155363636363</v>
      </c>
      <c r="Q49" s="42">
        <f>COUNTIF(Vertices[PageRank],"&gt;= "&amp;P49)-COUNTIF(Vertices[PageRank],"&gt;="&amp;P50)</f>
        <v>0</v>
      </c>
      <c r="R49" s="41">
        <f t="shared" si="17"/>
        <v>0.4242424242424245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2.6181818181818186</v>
      </c>
      <c r="I50" s="40">
        <f>COUNTIF(Vertices[Out-Degree],"&gt;= "&amp;H50)-COUNTIF(Vertices[Out-Degree],"&gt;="&amp;H51)</f>
        <v>0</v>
      </c>
      <c r="J50" s="39">
        <f t="shared" si="13"/>
        <v>19.636363636363633</v>
      </c>
      <c r="K50" s="40">
        <f>COUNTIF(Vertices[Betweenness Centrality],"&gt;= "&amp;J50)-COUNTIF(Vertices[Betweenness Centrality],"&gt;="&amp;J51)</f>
        <v>0</v>
      </c>
      <c r="L50" s="39">
        <f t="shared" si="14"/>
        <v>0.10649365454545444</v>
      </c>
      <c r="M50" s="40">
        <f>COUNTIF(Vertices[Closeness Centrality],"&gt;= "&amp;L50)-COUNTIF(Vertices[Closeness Centrality],"&gt;="&amp;L51)</f>
        <v>0</v>
      </c>
      <c r="N50" s="39">
        <f t="shared" si="15"/>
        <v>0.16037643636363644</v>
      </c>
      <c r="O50" s="40">
        <f>COUNTIF(Vertices[Eigenvector Centrality],"&gt;= "&amp;N50)-COUNTIF(Vertices[Eigenvector Centrality],"&gt;="&amp;N51)</f>
        <v>0</v>
      </c>
      <c r="P50" s="39">
        <f t="shared" si="16"/>
        <v>1.6285913454545446</v>
      </c>
      <c r="Q50" s="40">
        <f>COUNTIF(Vertices[PageRank],"&gt;= "&amp;P50)-COUNTIF(Vertices[PageRank],"&gt;="&amp;P51)</f>
        <v>0</v>
      </c>
      <c r="R50" s="39">
        <f t="shared" si="17"/>
        <v>0.4363636363636366</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2.6909090909090914</v>
      </c>
      <c r="I51" s="42">
        <f>COUNTIF(Vertices[Out-Degree],"&gt;= "&amp;H51)-COUNTIF(Vertices[Out-Degree],"&gt;="&amp;H52)</f>
        <v>0</v>
      </c>
      <c r="J51" s="41">
        <f t="shared" si="13"/>
        <v>20.18181818181818</v>
      </c>
      <c r="K51" s="42">
        <f>COUNTIF(Vertices[Betweenness Centrality],"&gt;= "&amp;J51)-COUNTIF(Vertices[Betweenness Centrality],"&gt;="&amp;J52)</f>
        <v>0</v>
      </c>
      <c r="L51" s="41">
        <f t="shared" si="14"/>
        <v>0.10746767272727262</v>
      </c>
      <c r="M51" s="42">
        <f>COUNTIF(Vertices[Closeness Centrality],"&gt;= "&amp;L51)-COUNTIF(Vertices[Closeness Centrality],"&gt;="&amp;L52)</f>
        <v>0</v>
      </c>
      <c r="N51" s="41">
        <f t="shared" si="15"/>
        <v>0.1633427818181819</v>
      </c>
      <c r="O51" s="42">
        <f>COUNTIF(Vertices[Eigenvector Centrality],"&gt;= "&amp;N51)-COUNTIF(Vertices[Eigenvector Centrality],"&gt;="&amp;N52)</f>
        <v>0</v>
      </c>
      <c r="P51" s="41">
        <f t="shared" si="16"/>
        <v>1.6620273272727264</v>
      </c>
      <c r="Q51" s="42">
        <f>COUNTIF(Vertices[PageRank],"&gt;= "&amp;P51)-COUNTIF(Vertices[PageRank],"&gt;="&amp;P52)</f>
        <v>0</v>
      </c>
      <c r="R51" s="41">
        <f t="shared" si="17"/>
        <v>0.44848484848484876</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2.763636363636364</v>
      </c>
      <c r="I52" s="40">
        <f>COUNTIF(Vertices[Out-Degree],"&gt;= "&amp;H52)-COUNTIF(Vertices[Out-Degree],"&gt;="&amp;H53)</f>
        <v>0</v>
      </c>
      <c r="J52" s="39">
        <f t="shared" si="13"/>
        <v>20.727272727272727</v>
      </c>
      <c r="K52" s="40">
        <f>COUNTIF(Vertices[Betweenness Centrality],"&gt;= "&amp;J52)-COUNTIF(Vertices[Betweenness Centrality],"&gt;="&amp;J53)</f>
        <v>0</v>
      </c>
      <c r="L52" s="39">
        <f t="shared" si="14"/>
        <v>0.1084416909090908</v>
      </c>
      <c r="M52" s="40">
        <f>COUNTIF(Vertices[Closeness Centrality],"&gt;= "&amp;L52)-COUNTIF(Vertices[Closeness Centrality],"&gt;="&amp;L53)</f>
        <v>0</v>
      </c>
      <c r="N52" s="39">
        <f t="shared" si="15"/>
        <v>0.16630912727272737</v>
      </c>
      <c r="O52" s="40">
        <f>COUNTIF(Vertices[Eigenvector Centrality],"&gt;= "&amp;N52)-COUNTIF(Vertices[Eigenvector Centrality],"&gt;="&amp;N53)</f>
        <v>3</v>
      </c>
      <c r="P52" s="39">
        <f t="shared" si="16"/>
        <v>1.6954633090909081</v>
      </c>
      <c r="Q52" s="40">
        <f>COUNTIF(Vertices[PageRank],"&gt;= "&amp;P52)-COUNTIF(Vertices[PageRank],"&gt;="&amp;P53)</f>
        <v>0</v>
      </c>
      <c r="R52" s="39">
        <f t="shared" si="17"/>
        <v>0.4606060606060609</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2.836363636363637</v>
      </c>
      <c r="I53" s="42">
        <f>COUNTIF(Vertices[Out-Degree],"&gt;= "&amp;H53)-COUNTIF(Vertices[Out-Degree],"&gt;="&amp;H54)</f>
        <v>0</v>
      </c>
      <c r="J53" s="41">
        <f t="shared" si="13"/>
        <v>21.272727272727273</v>
      </c>
      <c r="K53" s="42">
        <f>COUNTIF(Vertices[Betweenness Centrality],"&gt;= "&amp;J53)-COUNTIF(Vertices[Betweenness Centrality],"&gt;="&amp;J54)</f>
        <v>0</v>
      </c>
      <c r="L53" s="41">
        <f t="shared" si="14"/>
        <v>0.10941570909090897</v>
      </c>
      <c r="M53" s="42">
        <f>COUNTIF(Vertices[Closeness Centrality],"&gt;= "&amp;L53)-COUNTIF(Vertices[Closeness Centrality],"&gt;="&amp;L54)</f>
        <v>0</v>
      </c>
      <c r="N53" s="41">
        <f t="shared" si="15"/>
        <v>0.16927547272727284</v>
      </c>
      <c r="O53" s="42">
        <f>COUNTIF(Vertices[Eigenvector Centrality],"&gt;= "&amp;N53)-COUNTIF(Vertices[Eigenvector Centrality],"&gt;="&amp;N54)</f>
        <v>0</v>
      </c>
      <c r="P53" s="41">
        <f t="shared" si="16"/>
        <v>1.72889929090909</v>
      </c>
      <c r="Q53" s="42">
        <f>COUNTIF(Vertices[PageRank],"&gt;= "&amp;P53)-COUNTIF(Vertices[PageRank],"&gt;="&amp;P54)</f>
        <v>0</v>
      </c>
      <c r="R53" s="41">
        <f t="shared" si="17"/>
        <v>0.47272727272727305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2.9090909090909096</v>
      </c>
      <c r="I54" s="40">
        <f>COUNTIF(Vertices[Out-Degree],"&gt;= "&amp;H54)-COUNTIF(Vertices[Out-Degree],"&gt;="&amp;H55)</f>
        <v>0</v>
      </c>
      <c r="J54" s="39">
        <f t="shared" si="13"/>
        <v>21.81818181818182</v>
      </c>
      <c r="K54" s="40">
        <f>COUNTIF(Vertices[Betweenness Centrality],"&gt;= "&amp;J54)-COUNTIF(Vertices[Betweenness Centrality],"&gt;="&amp;J55)</f>
        <v>0</v>
      </c>
      <c r="L54" s="39">
        <f t="shared" si="14"/>
        <v>0.11038972727272715</v>
      </c>
      <c r="M54" s="40">
        <f>COUNTIF(Vertices[Closeness Centrality],"&gt;= "&amp;L54)-COUNTIF(Vertices[Closeness Centrality],"&gt;="&amp;L55)</f>
        <v>0</v>
      </c>
      <c r="N54" s="39">
        <f t="shared" si="15"/>
        <v>0.1722418181818183</v>
      </c>
      <c r="O54" s="40">
        <f>COUNTIF(Vertices[Eigenvector Centrality],"&gt;= "&amp;N54)-COUNTIF(Vertices[Eigenvector Centrality],"&gt;="&amp;N55)</f>
        <v>0</v>
      </c>
      <c r="P54" s="39">
        <f t="shared" si="16"/>
        <v>1.7623352727272716</v>
      </c>
      <c r="Q54" s="40">
        <f>COUNTIF(Vertices[PageRank],"&gt;= "&amp;P54)-COUNTIF(Vertices[PageRank],"&gt;="&amp;P55)</f>
        <v>0</v>
      </c>
      <c r="R54" s="39">
        <f t="shared" si="17"/>
        <v>0.4848484848484852</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2.9818181818181824</v>
      </c>
      <c r="G55" s="42">
        <f>COUNTIF(Vertices[In-Degree],"&gt;= "&amp;F55)-COUNTIF(Vertices[In-Degree],"&gt;="&amp;F56)</f>
        <v>1</v>
      </c>
      <c r="H55" s="41">
        <f t="shared" si="12"/>
        <v>2.9818181818181824</v>
      </c>
      <c r="I55" s="42">
        <f>COUNTIF(Vertices[Out-Degree],"&gt;= "&amp;H55)-COUNTIF(Vertices[Out-Degree],"&gt;="&amp;H56)</f>
        <v>2</v>
      </c>
      <c r="J55" s="41">
        <f t="shared" si="13"/>
        <v>22.363636363636367</v>
      </c>
      <c r="K55" s="42">
        <f>COUNTIF(Vertices[Betweenness Centrality],"&gt;= "&amp;J55)-COUNTIF(Vertices[Betweenness Centrality],"&gt;="&amp;J56)</f>
        <v>0</v>
      </c>
      <c r="L55" s="41">
        <f t="shared" si="14"/>
        <v>0.11136374545454533</v>
      </c>
      <c r="M55" s="42">
        <f>COUNTIF(Vertices[Closeness Centrality],"&gt;= "&amp;L55)-COUNTIF(Vertices[Closeness Centrality],"&gt;="&amp;L56)</f>
        <v>0</v>
      </c>
      <c r="N55" s="41">
        <f t="shared" si="15"/>
        <v>0.17520816363636377</v>
      </c>
      <c r="O55" s="42">
        <f>COUNTIF(Vertices[Eigenvector Centrality],"&gt;= "&amp;N55)-COUNTIF(Vertices[Eigenvector Centrality],"&gt;="&amp;N56)</f>
        <v>0</v>
      </c>
      <c r="P55" s="41">
        <f t="shared" si="16"/>
        <v>1.7957712545454534</v>
      </c>
      <c r="Q55" s="42">
        <f>COUNTIF(Vertices[PageRank],"&gt;= "&amp;P55)-COUNTIF(Vertices[PageRank],"&gt;="&amp;P56)</f>
        <v>0</v>
      </c>
      <c r="R55" s="41">
        <f t="shared" si="17"/>
        <v>0.49696969696969734</v>
      </c>
      <c r="S55" s="46">
        <f>COUNTIF(Vertices[Clustering Coefficient],"&gt;= "&amp;R55)-COUNTIF(Vertices[Clustering Coefficient],"&gt;="&amp;R56)</f>
        <v>1</v>
      </c>
      <c r="T55" s="41" t="e">
        <f ca="1" t="shared" si="18"/>
        <v>#REF!</v>
      </c>
      <c r="U55" s="42" t="e">
        <f ca="1" t="shared" si="0"/>
        <v>#REF!</v>
      </c>
    </row>
    <row r="56" spans="4:21" ht="15">
      <c r="D56" s="34">
        <f t="shared" si="10"/>
        <v>0</v>
      </c>
      <c r="E56" s="3">
        <f>COUNTIF(Vertices[Degree],"&gt;= "&amp;D56)-COUNTIF(Vertices[Degree],"&gt;="&amp;D57)</f>
        <v>0</v>
      </c>
      <c r="F56" s="39">
        <f t="shared" si="11"/>
        <v>3.054545454545455</v>
      </c>
      <c r="G56" s="40">
        <f>COUNTIF(Vertices[In-Degree],"&gt;= "&amp;F56)-COUNTIF(Vertices[In-Degree],"&gt;="&amp;F57)</f>
        <v>0</v>
      </c>
      <c r="H56" s="39">
        <f t="shared" si="12"/>
        <v>3.054545454545455</v>
      </c>
      <c r="I56" s="40">
        <f>COUNTIF(Vertices[Out-Degree],"&gt;= "&amp;H56)-COUNTIF(Vertices[Out-Degree],"&gt;="&amp;H57)</f>
        <v>0</v>
      </c>
      <c r="J56" s="39">
        <f t="shared" si="13"/>
        <v>22.909090909090914</v>
      </c>
      <c r="K56" s="40">
        <f>COUNTIF(Vertices[Betweenness Centrality],"&gt;= "&amp;J56)-COUNTIF(Vertices[Betweenness Centrality],"&gt;="&amp;J57)</f>
        <v>0</v>
      </c>
      <c r="L56" s="39">
        <f t="shared" si="14"/>
        <v>0.11233776363636351</v>
      </c>
      <c r="M56" s="40">
        <f>COUNTIF(Vertices[Closeness Centrality],"&gt;= "&amp;L56)-COUNTIF(Vertices[Closeness Centrality],"&gt;="&amp;L57)</f>
        <v>0</v>
      </c>
      <c r="N56" s="39">
        <f t="shared" si="15"/>
        <v>0.17817450909090923</v>
      </c>
      <c r="O56" s="40">
        <f>COUNTIF(Vertices[Eigenvector Centrality],"&gt;= "&amp;N56)-COUNTIF(Vertices[Eigenvector Centrality],"&gt;="&amp;N57)</f>
        <v>0</v>
      </c>
      <c r="P56" s="39">
        <f t="shared" si="16"/>
        <v>1.8292072363636351</v>
      </c>
      <c r="Q56" s="40">
        <f>COUNTIF(Vertices[PageRank],"&gt;= "&amp;P56)-COUNTIF(Vertices[PageRank],"&gt;="&amp;P57)</f>
        <v>0</v>
      </c>
      <c r="R56" s="39">
        <f t="shared" si="17"/>
        <v>0.5090909090909095</v>
      </c>
      <c r="S56" s="45">
        <f>COUNTIF(Vertices[Clustering Coefficient],"&gt;= "&amp;R56)-COUNTIF(Vertices[Clustering Coefficient],"&gt;="&amp;R57)</f>
        <v>0</v>
      </c>
      <c r="T56" s="39" t="e">
        <f ca="1" t="shared" si="18"/>
        <v>#REF!</v>
      </c>
      <c r="U56" s="40" t="e">
        <f ca="1" t="shared" si="0"/>
        <v>#REF!</v>
      </c>
    </row>
    <row r="57" spans="1:21" ht="15">
      <c r="A57" s="35" t="s">
        <v>81</v>
      </c>
      <c r="B57" s="48" t="str">
        <f>IF(COUNT(Vertices[Degree])&gt;0,D2,NoMetricMessage)</f>
        <v>Not Available</v>
      </c>
      <c r="D57" s="34">
        <f>MAX(Vertices[Degree])</f>
        <v>0</v>
      </c>
      <c r="E57" s="3">
        <f>COUNTIF(Vertices[Degree],"&gt;= "&amp;D57)-COUNTIF(Vertices[Degree],"&gt;="&amp;D58)</f>
        <v>0</v>
      </c>
      <c r="F57" s="43">
        <f>MAX(Vertices[In-Degree])</f>
        <v>4</v>
      </c>
      <c r="G57" s="44">
        <f>COUNTIF(Vertices[In-Degree],"&gt;= "&amp;F57)-COUNTIF(Vertices[In-Degree],"&gt;="&amp;F58)</f>
        <v>1</v>
      </c>
      <c r="H57" s="43">
        <f>MAX(Vertices[Out-Degree])</f>
        <v>4</v>
      </c>
      <c r="I57" s="44">
        <f>COUNTIF(Vertices[Out-Degree],"&gt;= "&amp;H57)-COUNTIF(Vertices[Out-Degree],"&gt;="&amp;H58)</f>
        <v>2</v>
      </c>
      <c r="J57" s="43">
        <f>MAX(Vertices[Betweenness Centrality])</f>
        <v>30</v>
      </c>
      <c r="K57" s="44">
        <f>COUNTIF(Vertices[Betweenness Centrality],"&gt;= "&amp;J57)-COUNTIF(Vertices[Betweenness Centrality],"&gt;="&amp;J58)</f>
        <v>1</v>
      </c>
      <c r="L57" s="43">
        <f>MAX(Vertices[Closeness Centrality])</f>
        <v>0.125</v>
      </c>
      <c r="M57" s="44">
        <f>COUNTIF(Vertices[Closeness Centrality],"&gt;= "&amp;L57)-COUNTIF(Vertices[Closeness Centrality],"&gt;="&amp;L58)</f>
        <v>1</v>
      </c>
      <c r="N57" s="43">
        <f>MAX(Vertices[Eigenvector Centrality])</f>
        <v>0.216737</v>
      </c>
      <c r="O57" s="44">
        <f>COUNTIF(Vertices[Eigenvector Centrality],"&gt;= "&amp;N57)-COUNTIF(Vertices[Eigenvector Centrality],"&gt;="&amp;N58)</f>
        <v>1</v>
      </c>
      <c r="P57" s="43">
        <f>MAX(Vertices[PageRank])</f>
        <v>2.263875</v>
      </c>
      <c r="Q57" s="44">
        <f>COUNTIF(Vertices[PageRank],"&gt;= "&amp;P57)-COUNTIF(Vertices[PageRank],"&gt;="&amp;P58)</f>
        <v>1</v>
      </c>
      <c r="R57" s="43">
        <f>MAX(Vertices[Clustering Coefficient])</f>
        <v>0.6666666666666666</v>
      </c>
      <c r="S57" s="47">
        <f>COUNTIF(Vertices[Clustering Coefficient],"&gt;= "&amp;R57)-COUNTIF(Vertices[Clustering Coefficient],"&gt;="&amp;R58)</f>
        <v>1</v>
      </c>
      <c r="T57" s="43" t="e">
        <f ca="1">MAX(INDIRECT(DynamicFilterSourceColumnRange))</f>
        <v>#REF!</v>
      </c>
      <c r="U57" s="44" t="e">
        <f ca="1" t="shared" si="0"/>
        <v>#REF!</v>
      </c>
    </row>
    <row r="58" spans="1:2" ht="15">
      <c r="A58" s="35" t="s">
        <v>82</v>
      </c>
      <c r="B58" s="48" t="str">
        <f>IF(COUNT(Vertices[Degree])&gt;0,D57,NoMetricMessage)</f>
        <v>Not Available</v>
      </c>
    </row>
    <row r="59" spans="1:2" ht="15">
      <c r="A59" s="35" t="s">
        <v>83</v>
      </c>
      <c r="B59" s="49" t="str">
        <f>_xlfn.IFERROR(AVERAGE(Vertices[Degree]),NoMetricMessage)</f>
        <v>Not Available</v>
      </c>
    </row>
    <row r="60" spans="1:2" ht="15">
      <c r="A60" s="35" t="s">
        <v>84</v>
      </c>
      <c r="B60" s="49" t="str">
        <f>_xlfn.IFERROR(MEDIAN(Vertices[Degree]),NoMetricMessage)</f>
        <v>Not Available</v>
      </c>
    </row>
    <row r="71" spans="1:2" ht="15">
      <c r="A71" s="35" t="s">
        <v>88</v>
      </c>
      <c r="B71" s="48">
        <f>IF(COUNT(Vertices[In-Degree])&gt;0,F2,NoMetricMessage)</f>
        <v>0</v>
      </c>
    </row>
    <row r="72" spans="1:2" ht="15">
      <c r="A72" s="35" t="s">
        <v>89</v>
      </c>
      <c r="B72" s="48">
        <f>IF(COUNT(Vertices[In-Degree])&gt;0,F57,NoMetricMessage)</f>
        <v>4</v>
      </c>
    </row>
    <row r="73" spans="1:2" ht="15">
      <c r="A73" s="35" t="s">
        <v>90</v>
      </c>
      <c r="B73" s="49">
        <f>_xlfn.IFERROR(AVERAGE(Vertices[In-Degree]),NoMetricMessage)</f>
        <v>1.75</v>
      </c>
    </row>
    <row r="74" spans="1:2" ht="15">
      <c r="A74" s="35" t="s">
        <v>91</v>
      </c>
      <c r="B74" s="49">
        <f>_xlfn.IFERROR(MEDIAN(Vertices[In-Degree]),NoMetricMessage)</f>
        <v>1.5</v>
      </c>
    </row>
    <row r="85" spans="1:2" ht="15">
      <c r="A85" s="35" t="s">
        <v>94</v>
      </c>
      <c r="B85" s="48">
        <f>IF(COUNT(Vertices[Out-Degree])&gt;0,H2,NoMetricMessage)</f>
        <v>0</v>
      </c>
    </row>
    <row r="86" spans="1:2" ht="15">
      <c r="A86" s="35" t="s">
        <v>95</v>
      </c>
      <c r="B86" s="48">
        <f>IF(COUNT(Vertices[Out-Degree])&gt;0,H57,NoMetricMessage)</f>
        <v>4</v>
      </c>
    </row>
    <row r="87" spans="1:2" ht="15">
      <c r="A87" s="35" t="s">
        <v>96</v>
      </c>
      <c r="B87" s="49">
        <f>_xlfn.IFERROR(AVERAGE(Vertices[Out-Degree]),NoMetricMessage)</f>
        <v>1.75</v>
      </c>
    </row>
    <row r="88" spans="1:2" ht="15">
      <c r="A88" s="35" t="s">
        <v>97</v>
      </c>
      <c r="B88" s="49">
        <f>_xlfn.IFERROR(MEDIAN(Vertices[Out-Degree]),NoMetricMessage)</f>
        <v>1.5</v>
      </c>
    </row>
    <row r="99" spans="1:2" ht="15">
      <c r="A99" s="35" t="s">
        <v>100</v>
      </c>
      <c r="B99" s="49">
        <f>IF(COUNT(Vertices[Betweenness Centrality])&gt;0,J2,NoMetricMessage)</f>
        <v>0</v>
      </c>
    </row>
    <row r="100" spans="1:2" ht="15">
      <c r="A100" s="35" t="s">
        <v>101</v>
      </c>
      <c r="B100" s="49">
        <f>IF(COUNT(Vertices[Betweenness Centrality])&gt;0,J57,NoMetricMessage)</f>
        <v>30</v>
      </c>
    </row>
    <row r="101" spans="1:2" ht="15">
      <c r="A101" s="35" t="s">
        <v>102</v>
      </c>
      <c r="B101" s="49">
        <f>_xlfn.IFERROR(AVERAGE(Vertices[Betweenness Centrality]),NoMetricMessage)</f>
        <v>4.750000125</v>
      </c>
    </row>
    <row r="102" spans="1:2" ht="15">
      <c r="A102" s="35" t="s">
        <v>103</v>
      </c>
      <c r="B102" s="49">
        <f>_xlfn.IFERROR(MEDIAN(Vertices[Betweenness Centrality]),NoMetricMessage)</f>
        <v>1.3333335</v>
      </c>
    </row>
    <row r="113" spans="1:2" ht="15">
      <c r="A113" s="35" t="s">
        <v>106</v>
      </c>
      <c r="B113" s="49">
        <f>IF(COUNT(Vertices[Closeness Centrality])&gt;0,L2,NoMetricMessage)</f>
        <v>0.071429</v>
      </c>
    </row>
    <row r="114" spans="1:2" ht="15">
      <c r="A114" s="35" t="s">
        <v>107</v>
      </c>
      <c r="B114" s="49">
        <f>IF(COUNT(Vertices[Closeness Centrality])&gt;0,L57,NoMetricMessage)</f>
        <v>0.125</v>
      </c>
    </row>
    <row r="115" spans="1:2" ht="15">
      <c r="A115" s="35" t="s">
        <v>108</v>
      </c>
      <c r="B115" s="49">
        <f>_xlfn.IFERROR(AVERAGE(Vertices[Closeness Centrality]),NoMetricMessage)</f>
        <v>0.08883949999999999</v>
      </c>
    </row>
    <row r="116" spans="1:2" ht="15">
      <c r="A116" s="35" t="s">
        <v>109</v>
      </c>
      <c r="B116" s="49">
        <f>_xlfn.IFERROR(MEDIAN(Vertices[Closeness Centrality]),NoMetricMessage)</f>
        <v>0.0857145</v>
      </c>
    </row>
    <row r="127" spans="1:2" ht="15">
      <c r="A127" s="35" t="s">
        <v>112</v>
      </c>
      <c r="B127" s="49">
        <f>IF(COUNT(Vertices[Eigenvector Centrality])&gt;0,N2,NoMetricMessage)</f>
        <v>0.053588</v>
      </c>
    </row>
    <row r="128" spans="1:2" ht="15">
      <c r="A128" s="35" t="s">
        <v>113</v>
      </c>
      <c r="B128" s="49">
        <f>IF(COUNT(Vertices[Eigenvector Centrality])&gt;0,N57,NoMetricMessage)</f>
        <v>0.216737</v>
      </c>
    </row>
    <row r="129" spans="1:2" ht="15">
      <c r="A129" s="35" t="s">
        <v>114</v>
      </c>
      <c r="B129" s="49">
        <f>_xlfn.IFERROR(AVERAGE(Vertices[Eigenvector Centrality]),NoMetricMessage)</f>
        <v>0.125</v>
      </c>
    </row>
    <row r="130" spans="1:2" ht="15">
      <c r="A130" s="35" t="s">
        <v>115</v>
      </c>
      <c r="B130" s="49">
        <f>_xlfn.IFERROR(MEDIAN(Vertices[Eigenvector Centrality]),NoMetricMessage)</f>
        <v>0.1448835</v>
      </c>
    </row>
    <row r="141" spans="1:2" ht="15">
      <c r="A141" s="35" t="s">
        <v>140</v>
      </c>
      <c r="B141" s="49">
        <f>IF(COUNT(Vertices[PageRank])&gt;0,P2,NoMetricMessage)</f>
        <v>0.424896</v>
      </c>
    </row>
    <row r="142" spans="1:2" ht="15">
      <c r="A142" s="35" t="s">
        <v>141</v>
      </c>
      <c r="B142" s="49">
        <f>IF(COUNT(Vertices[PageRank])&gt;0,P57,NoMetricMessage)</f>
        <v>2.263875</v>
      </c>
    </row>
    <row r="143" spans="1:2" ht="15">
      <c r="A143" s="35" t="s">
        <v>142</v>
      </c>
      <c r="B143" s="49">
        <f>_xlfn.IFERROR(AVERAGE(Vertices[PageRank]),NoMetricMessage)</f>
        <v>0.9999297500000001</v>
      </c>
    </row>
    <row r="144" spans="1:2" ht="15">
      <c r="A144" s="35" t="s">
        <v>143</v>
      </c>
      <c r="B144" s="49">
        <f>_xlfn.IFERROR(MEDIAN(Vertices[PageRank]),NoMetricMessage)</f>
        <v>1.0453145</v>
      </c>
    </row>
    <row r="155" spans="1:2" ht="15">
      <c r="A155" s="35" t="s">
        <v>118</v>
      </c>
      <c r="B155" s="49">
        <f>IF(COUNT(Vertices[Clustering Coefficient])&gt;0,R2,NoMetricMessage)</f>
        <v>0</v>
      </c>
    </row>
    <row r="156" spans="1:2" ht="15">
      <c r="A156" s="35" t="s">
        <v>119</v>
      </c>
      <c r="B156" s="49">
        <f>IF(COUNT(Vertices[Clustering Coefficient])&gt;0,R57,NoMetricMessage)</f>
        <v>0.6666666666666666</v>
      </c>
    </row>
    <row r="157" spans="1:2" ht="15">
      <c r="A157" s="35" t="s">
        <v>120</v>
      </c>
      <c r="B157" s="49">
        <f>_xlfn.IFERROR(AVERAGE(Vertices[Clustering Coefficient]),NoMetricMessage)</f>
        <v>0.26666666666666666</v>
      </c>
    </row>
    <row r="158" spans="1:2" ht="15">
      <c r="A158" s="35" t="s">
        <v>121</v>
      </c>
      <c r="B158" s="49">
        <f>_xlfn.IFERROR(MEDIAN(Vertices[Clustering Coefficient]),NoMetricMessage)</f>
        <v>0.275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354</v>
      </c>
      <c r="K7" s="13" t="s">
        <v>355</v>
      </c>
    </row>
    <row r="8" spans="1:11" ht="409.5">
      <c r="A8"/>
      <c r="B8">
        <v>2</v>
      </c>
      <c r="C8">
        <v>2</v>
      </c>
      <c r="D8" t="s">
        <v>61</v>
      </c>
      <c r="E8" t="s">
        <v>61</v>
      </c>
      <c r="H8" t="s">
        <v>73</v>
      </c>
      <c r="J8" t="s">
        <v>356</v>
      </c>
      <c r="K8" s="13" t="s">
        <v>357</v>
      </c>
    </row>
    <row r="9" spans="1:11" ht="409.5">
      <c r="A9"/>
      <c r="B9">
        <v>3</v>
      </c>
      <c r="C9">
        <v>4</v>
      </c>
      <c r="D9" t="s">
        <v>62</v>
      </c>
      <c r="E9" t="s">
        <v>62</v>
      </c>
      <c r="H9" t="s">
        <v>74</v>
      </c>
      <c r="J9" t="s">
        <v>358</v>
      </c>
      <c r="K9" s="118" t="s">
        <v>359</v>
      </c>
    </row>
    <row r="10" spans="1:11" ht="409.5">
      <c r="A10"/>
      <c r="B10">
        <v>4</v>
      </c>
      <c r="D10" t="s">
        <v>63</v>
      </c>
      <c r="E10" t="s">
        <v>63</v>
      </c>
      <c r="H10" t="s">
        <v>75</v>
      </c>
      <c r="J10" t="s">
        <v>360</v>
      </c>
      <c r="K10" s="13" t="s">
        <v>361</v>
      </c>
    </row>
    <row r="11" spans="1:11" ht="15">
      <c r="A11"/>
      <c r="B11">
        <v>5</v>
      </c>
      <c r="D11" t="s">
        <v>46</v>
      </c>
      <c r="E11">
        <v>1</v>
      </c>
      <c r="H11" t="s">
        <v>76</v>
      </c>
      <c r="J11" t="s">
        <v>362</v>
      </c>
      <c r="K11" t="s">
        <v>363</v>
      </c>
    </row>
    <row r="12" spans="1:11" ht="15">
      <c r="A12"/>
      <c r="B12"/>
      <c r="D12" t="s">
        <v>64</v>
      </c>
      <c r="E12">
        <v>2</v>
      </c>
      <c r="H12">
        <v>0</v>
      </c>
      <c r="J12" t="s">
        <v>364</v>
      </c>
      <c r="K12" t="s">
        <v>365</v>
      </c>
    </row>
    <row r="13" spans="1:11" ht="15">
      <c r="A13"/>
      <c r="B13"/>
      <c r="D13">
        <v>1</v>
      </c>
      <c r="E13">
        <v>3</v>
      </c>
      <c r="H13">
        <v>1</v>
      </c>
      <c r="J13" t="s">
        <v>366</v>
      </c>
      <c r="K13" t="s">
        <v>367</v>
      </c>
    </row>
    <row r="14" spans="4:11" ht="15">
      <c r="D14">
        <v>2</v>
      </c>
      <c r="E14">
        <v>4</v>
      </c>
      <c r="H14">
        <v>2</v>
      </c>
      <c r="J14" t="s">
        <v>368</v>
      </c>
      <c r="K14" t="s">
        <v>369</v>
      </c>
    </row>
    <row r="15" spans="4:11" ht="15">
      <c r="D15">
        <v>3</v>
      </c>
      <c r="E15">
        <v>5</v>
      </c>
      <c r="H15">
        <v>3</v>
      </c>
      <c r="J15" t="s">
        <v>370</v>
      </c>
      <c r="K15" t="s">
        <v>371</v>
      </c>
    </row>
    <row r="16" spans="4:11" ht="15">
      <c r="D16">
        <v>4</v>
      </c>
      <c r="E16">
        <v>6</v>
      </c>
      <c r="H16">
        <v>4</v>
      </c>
      <c r="J16" t="s">
        <v>372</v>
      </c>
      <c r="K16" t="s">
        <v>373</v>
      </c>
    </row>
    <row r="17" spans="4:11" ht="15">
      <c r="D17">
        <v>5</v>
      </c>
      <c r="E17">
        <v>7</v>
      </c>
      <c r="H17">
        <v>5</v>
      </c>
      <c r="J17" t="s">
        <v>374</v>
      </c>
      <c r="K17" t="s">
        <v>375</v>
      </c>
    </row>
    <row r="18" spans="4:11" ht="15">
      <c r="D18">
        <v>6</v>
      </c>
      <c r="E18">
        <v>8</v>
      </c>
      <c r="H18">
        <v>6</v>
      </c>
      <c r="J18" t="s">
        <v>376</v>
      </c>
      <c r="K18" t="s">
        <v>377</v>
      </c>
    </row>
    <row r="19" spans="4:11" ht="15">
      <c r="D19">
        <v>7</v>
      </c>
      <c r="E19">
        <v>9</v>
      </c>
      <c r="H19">
        <v>7</v>
      </c>
      <c r="J19" t="s">
        <v>378</v>
      </c>
      <c r="K19" t="s">
        <v>379</v>
      </c>
    </row>
    <row r="20" spans="4:11" ht="15">
      <c r="D20">
        <v>8</v>
      </c>
      <c r="H20">
        <v>8</v>
      </c>
      <c r="J20" t="s">
        <v>380</v>
      </c>
      <c r="K20" t="s">
        <v>381</v>
      </c>
    </row>
    <row r="21" spans="4:11" ht="409.5">
      <c r="D21">
        <v>9</v>
      </c>
      <c r="H21">
        <v>9</v>
      </c>
      <c r="J21" t="s">
        <v>382</v>
      </c>
      <c r="K21" s="13" t="s">
        <v>383</v>
      </c>
    </row>
    <row r="22" spans="4:11" ht="409.5">
      <c r="D22">
        <v>10</v>
      </c>
      <c r="J22" t="s">
        <v>384</v>
      </c>
      <c r="K22" s="13" t="s">
        <v>385</v>
      </c>
    </row>
    <row r="23" spans="4:11" ht="409.5">
      <c r="D23">
        <v>11</v>
      </c>
      <c r="J23" t="s">
        <v>386</v>
      </c>
      <c r="K23" s="13" t="s">
        <v>387</v>
      </c>
    </row>
    <row r="24" spans="10:11" ht="409.5">
      <c r="J24" t="s">
        <v>388</v>
      </c>
      <c r="K24" s="13" t="s">
        <v>558</v>
      </c>
    </row>
    <row r="25" spans="10:11" ht="15">
      <c r="J25" t="s">
        <v>389</v>
      </c>
      <c r="K25" t="b">
        <v>0</v>
      </c>
    </row>
    <row r="26" spans="10:11" ht="15">
      <c r="J26" t="s">
        <v>555</v>
      </c>
      <c r="K26" t="s">
        <v>556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398</v>
      </c>
      <c r="B1" s="13" t="s">
        <v>399</v>
      </c>
      <c r="C1" s="13" t="s">
        <v>400</v>
      </c>
      <c r="D1" s="13" t="s">
        <v>402</v>
      </c>
      <c r="E1" s="85" t="s">
        <v>401</v>
      </c>
      <c r="F1" s="85" t="s">
        <v>403</v>
      </c>
    </row>
    <row r="2" spans="1:6" ht="15">
      <c r="A2" s="90" t="s">
        <v>229</v>
      </c>
      <c r="B2" s="85">
        <v>1</v>
      </c>
      <c r="C2" s="90" t="s">
        <v>229</v>
      </c>
      <c r="D2" s="85">
        <v>1</v>
      </c>
      <c r="E2" s="85"/>
      <c r="F2" s="85"/>
    </row>
    <row r="5" spans="1:6" ht="15" customHeight="1">
      <c r="A5" s="13" t="s">
        <v>405</v>
      </c>
      <c r="B5" s="13" t="s">
        <v>399</v>
      </c>
      <c r="C5" s="13" t="s">
        <v>406</v>
      </c>
      <c r="D5" s="13" t="s">
        <v>402</v>
      </c>
      <c r="E5" s="85" t="s">
        <v>407</v>
      </c>
      <c r="F5" s="85" t="s">
        <v>403</v>
      </c>
    </row>
    <row r="6" spans="1:6" ht="15">
      <c r="A6" s="85" t="s">
        <v>230</v>
      </c>
      <c r="B6" s="85">
        <v>1</v>
      </c>
      <c r="C6" s="85" t="s">
        <v>230</v>
      </c>
      <c r="D6" s="85">
        <v>1</v>
      </c>
      <c r="E6" s="85"/>
      <c r="F6" s="85"/>
    </row>
    <row r="9" spans="1:6" ht="15" customHeight="1">
      <c r="A9" s="13" t="s">
        <v>409</v>
      </c>
      <c r="B9" s="13" t="s">
        <v>399</v>
      </c>
      <c r="C9" s="13" t="s">
        <v>412</v>
      </c>
      <c r="D9" s="13" t="s">
        <v>402</v>
      </c>
      <c r="E9" s="13" t="s">
        <v>413</v>
      </c>
      <c r="F9" s="13" t="s">
        <v>403</v>
      </c>
    </row>
    <row r="10" spans="1:6" ht="15">
      <c r="A10" s="85" t="s">
        <v>410</v>
      </c>
      <c r="B10" s="85">
        <v>3</v>
      </c>
      <c r="C10" s="85" t="s">
        <v>232</v>
      </c>
      <c r="D10" s="85">
        <v>1</v>
      </c>
      <c r="E10" s="85" t="s">
        <v>410</v>
      </c>
      <c r="F10" s="85">
        <v>3</v>
      </c>
    </row>
    <row r="11" spans="1:6" ht="15">
      <c r="A11" s="85" t="s">
        <v>411</v>
      </c>
      <c r="B11" s="85">
        <v>3</v>
      </c>
      <c r="C11" s="85"/>
      <c r="D11" s="85"/>
      <c r="E11" s="85" t="s">
        <v>411</v>
      </c>
      <c r="F11" s="85">
        <v>3</v>
      </c>
    </row>
    <row r="12" spans="1:6" ht="15">
      <c r="A12" s="85" t="s">
        <v>232</v>
      </c>
      <c r="B12" s="85">
        <v>1</v>
      </c>
      <c r="C12" s="85"/>
      <c r="D12" s="85"/>
      <c r="E12" s="85"/>
      <c r="F12" s="85"/>
    </row>
    <row r="15" spans="1:6" ht="15" customHeight="1">
      <c r="A15" s="13" t="s">
        <v>415</v>
      </c>
      <c r="B15" s="13" t="s">
        <v>399</v>
      </c>
      <c r="C15" s="85" t="s">
        <v>426</v>
      </c>
      <c r="D15" s="85" t="s">
        <v>402</v>
      </c>
      <c r="E15" s="13" t="s">
        <v>427</v>
      </c>
      <c r="F15" s="13" t="s">
        <v>403</v>
      </c>
    </row>
    <row r="16" spans="1:6" ht="15">
      <c r="A16" s="93" t="s">
        <v>416</v>
      </c>
      <c r="B16" s="93">
        <v>6</v>
      </c>
      <c r="C16" s="93"/>
      <c r="D16" s="93"/>
      <c r="E16" s="93" t="s">
        <v>421</v>
      </c>
      <c r="F16" s="93">
        <v>6</v>
      </c>
    </row>
    <row r="17" spans="1:6" ht="15">
      <c r="A17" s="93" t="s">
        <v>417</v>
      </c>
      <c r="B17" s="93">
        <v>4</v>
      </c>
      <c r="C17" s="93"/>
      <c r="D17" s="93"/>
      <c r="E17" s="93" t="s">
        <v>422</v>
      </c>
      <c r="F17" s="93">
        <v>3</v>
      </c>
    </row>
    <row r="18" spans="1:6" ht="15">
      <c r="A18" s="93" t="s">
        <v>418</v>
      </c>
      <c r="B18" s="93">
        <v>0</v>
      </c>
      <c r="C18" s="93"/>
      <c r="D18" s="93"/>
      <c r="E18" s="93" t="s">
        <v>423</v>
      </c>
      <c r="F18" s="93">
        <v>3</v>
      </c>
    </row>
    <row r="19" spans="1:6" ht="15">
      <c r="A19" s="93" t="s">
        <v>419</v>
      </c>
      <c r="B19" s="93">
        <v>114</v>
      </c>
      <c r="C19" s="93"/>
      <c r="D19" s="93"/>
      <c r="E19" s="93" t="s">
        <v>424</v>
      </c>
      <c r="F19" s="93">
        <v>3</v>
      </c>
    </row>
    <row r="20" spans="1:6" ht="15">
      <c r="A20" s="93" t="s">
        <v>420</v>
      </c>
      <c r="B20" s="93">
        <v>124</v>
      </c>
      <c r="C20" s="93"/>
      <c r="D20" s="93"/>
      <c r="E20" s="93" t="s">
        <v>425</v>
      </c>
      <c r="F20" s="93">
        <v>3</v>
      </c>
    </row>
    <row r="21" spans="1:6" ht="15">
      <c r="A21" s="93" t="s">
        <v>421</v>
      </c>
      <c r="B21" s="93">
        <v>6</v>
      </c>
      <c r="C21" s="93"/>
      <c r="D21" s="93"/>
      <c r="E21" s="93" t="s">
        <v>428</v>
      </c>
      <c r="F21" s="93">
        <v>3</v>
      </c>
    </row>
    <row r="22" spans="1:6" ht="15">
      <c r="A22" s="93" t="s">
        <v>422</v>
      </c>
      <c r="B22" s="93">
        <v>3</v>
      </c>
      <c r="C22" s="93"/>
      <c r="D22" s="93"/>
      <c r="E22" s="93" t="s">
        <v>429</v>
      </c>
      <c r="F22" s="93">
        <v>3</v>
      </c>
    </row>
    <row r="23" spans="1:6" ht="15">
      <c r="A23" s="93" t="s">
        <v>423</v>
      </c>
      <c r="B23" s="93">
        <v>3</v>
      </c>
      <c r="C23" s="93"/>
      <c r="D23" s="93"/>
      <c r="E23" s="93" t="s">
        <v>430</v>
      </c>
      <c r="F23" s="93">
        <v>3</v>
      </c>
    </row>
    <row r="24" spans="1:6" ht="15">
      <c r="A24" s="93" t="s">
        <v>424</v>
      </c>
      <c r="B24" s="93">
        <v>3</v>
      </c>
      <c r="C24" s="93"/>
      <c r="D24" s="93"/>
      <c r="E24" s="93" t="s">
        <v>431</v>
      </c>
      <c r="F24" s="93">
        <v>3</v>
      </c>
    </row>
    <row r="25" spans="1:6" ht="15">
      <c r="A25" s="93" t="s">
        <v>425</v>
      </c>
      <c r="B25" s="93">
        <v>3</v>
      </c>
      <c r="C25" s="93"/>
      <c r="D25" s="93"/>
      <c r="E25" s="93" t="s">
        <v>432</v>
      </c>
      <c r="F25" s="93">
        <v>3</v>
      </c>
    </row>
    <row r="28" spans="1:6" ht="15" customHeight="1">
      <c r="A28" s="13" t="s">
        <v>435</v>
      </c>
      <c r="B28" s="13" t="s">
        <v>399</v>
      </c>
      <c r="C28" s="85" t="s">
        <v>446</v>
      </c>
      <c r="D28" s="85" t="s">
        <v>402</v>
      </c>
      <c r="E28" s="13" t="s">
        <v>447</v>
      </c>
      <c r="F28" s="13" t="s">
        <v>403</v>
      </c>
    </row>
    <row r="29" spans="1:6" ht="15">
      <c r="A29" s="93" t="s">
        <v>436</v>
      </c>
      <c r="B29" s="93">
        <v>3</v>
      </c>
      <c r="C29" s="93"/>
      <c r="D29" s="93"/>
      <c r="E29" s="93" t="s">
        <v>436</v>
      </c>
      <c r="F29" s="93">
        <v>3</v>
      </c>
    </row>
    <row r="30" spans="1:6" ht="15">
      <c r="A30" s="93" t="s">
        <v>437</v>
      </c>
      <c r="B30" s="93">
        <v>3</v>
      </c>
      <c r="C30" s="93"/>
      <c r="D30" s="93"/>
      <c r="E30" s="93" t="s">
        <v>437</v>
      </c>
      <c r="F30" s="93">
        <v>3</v>
      </c>
    </row>
    <row r="31" spans="1:6" ht="15">
      <c r="A31" s="93" t="s">
        <v>438</v>
      </c>
      <c r="B31" s="93">
        <v>3</v>
      </c>
      <c r="C31" s="93"/>
      <c r="D31" s="93"/>
      <c r="E31" s="93" t="s">
        <v>438</v>
      </c>
      <c r="F31" s="93">
        <v>3</v>
      </c>
    </row>
    <row r="32" spans="1:6" ht="15">
      <c r="A32" s="93" t="s">
        <v>439</v>
      </c>
      <c r="B32" s="93">
        <v>3</v>
      </c>
      <c r="C32" s="93"/>
      <c r="D32" s="93"/>
      <c r="E32" s="93" t="s">
        <v>439</v>
      </c>
      <c r="F32" s="93">
        <v>3</v>
      </c>
    </row>
    <row r="33" spans="1:6" ht="15">
      <c r="A33" s="93" t="s">
        <v>440</v>
      </c>
      <c r="B33" s="93">
        <v>3</v>
      </c>
      <c r="C33" s="93"/>
      <c r="D33" s="93"/>
      <c r="E33" s="93" t="s">
        <v>440</v>
      </c>
      <c r="F33" s="93">
        <v>3</v>
      </c>
    </row>
    <row r="34" spans="1:6" ht="15">
      <c r="A34" s="93" t="s">
        <v>441</v>
      </c>
      <c r="B34" s="93">
        <v>3</v>
      </c>
      <c r="C34" s="93"/>
      <c r="D34" s="93"/>
      <c r="E34" s="93" t="s">
        <v>441</v>
      </c>
      <c r="F34" s="93">
        <v>3</v>
      </c>
    </row>
    <row r="35" spans="1:6" ht="15">
      <c r="A35" s="93" t="s">
        <v>442</v>
      </c>
      <c r="B35" s="93">
        <v>3</v>
      </c>
      <c r="C35" s="93"/>
      <c r="D35" s="93"/>
      <c r="E35" s="93" t="s">
        <v>442</v>
      </c>
      <c r="F35" s="93">
        <v>3</v>
      </c>
    </row>
    <row r="36" spans="1:6" ht="15">
      <c r="A36" s="93" t="s">
        <v>443</v>
      </c>
      <c r="B36" s="93">
        <v>3</v>
      </c>
      <c r="C36" s="93"/>
      <c r="D36" s="93"/>
      <c r="E36" s="93" t="s">
        <v>443</v>
      </c>
      <c r="F36" s="93">
        <v>3</v>
      </c>
    </row>
    <row r="37" spans="1:6" ht="15">
      <c r="A37" s="93" t="s">
        <v>444</v>
      </c>
      <c r="B37" s="93">
        <v>3</v>
      </c>
      <c r="C37" s="93"/>
      <c r="D37" s="93"/>
      <c r="E37" s="93" t="s">
        <v>444</v>
      </c>
      <c r="F37" s="93">
        <v>3</v>
      </c>
    </row>
    <row r="38" spans="1:6" ht="15">
      <c r="A38" s="93" t="s">
        <v>445</v>
      </c>
      <c r="B38" s="93">
        <v>3</v>
      </c>
      <c r="C38" s="93"/>
      <c r="D38" s="93"/>
      <c r="E38" s="93" t="s">
        <v>445</v>
      </c>
      <c r="F38" s="93">
        <v>3</v>
      </c>
    </row>
    <row r="41" spans="1:6" ht="15" customHeight="1">
      <c r="A41" s="13" t="s">
        <v>450</v>
      </c>
      <c r="B41" s="13" t="s">
        <v>399</v>
      </c>
      <c r="C41" s="13" t="s">
        <v>452</v>
      </c>
      <c r="D41" s="13" t="s">
        <v>402</v>
      </c>
      <c r="E41" s="85" t="s">
        <v>453</v>
      </c>
      <c r="F41" s="85" t="s">
        <v>403</v>
      </c>
    </row>
    <row r="42" spans="1:6" ht="15">
      <c r="A42" s="85" t="s">
        <v>221</v>
      </c>
      <c r="B42" s="85">
        <v>1</v>
      </c>
      <c r="C42" s="85" t="s">
        <v>221</v>
      </c>
      <c r="D42" s="85">
        <v>1</v>
      </c>
      <c r="E42" s="85"/>
      <c r="F42" s="85"/>
    </row>
    <row r="43" spans="1:6" ht="15">
      <c r="A43" s="85" t="s">
        <v>220</v>
      </c>
      <c r="B43" s="85">
        <v>1</v>
      </c>
      <c r="C43" s="85" t="s">
        <v>220</v>
      </c>
      <c r="D43" s="85">
        <v>1</v>
      </c>
      <c r="E43" s="85"/>
      <c r="F43" s="85"/>
    </row>
    <row r="46" spans="1:6" ht="15" customHeight="1">
      <c r="A46" s="13" t="s">
        <v>451</v>
      </c>
      <c r="B46" s="13" t="s">
        <v>399</v>
      </c>
      <c r="C46" s="13" t="s">
        <v>454</v>
      </c>
      <c r="D46" s="13" t="s">
        <v>402</v>
      </c>
      <c r="E46" s="13" t="s">
        <v>455</v>
      </c>
      <c r="F46" s="13" t="s">
        <v>403</v>
      </c>
    </row>
    <row r="47" spans="1:6" ht="15">
      <c r="A47" s="85" t="s">
        <v>216</v>
      </c>
      <c r="B47" s="85">
        <v>3</v>
      </c>
      <c r="C47" s="85" t="s">
        <v>219</v>
      </c>
      <c r="D47" s="85">
        <v>1</v>
      </c>
      <c r="E47" s="85" t="s">
        <v>216</v>
      </c>
      <c r="F47" s="85">
        <v>3</v>
      </c>
    </row>
    <row r="48" spans="1:6" ht="15">
      <c r="A48" s="85" t="s">
        <v>217</v>
      </c>
      <c r="B48" s="85">
        <v>3</v>
      </c>
      <c r="C48" s="85"/>
      <c r="D48" s="85"/>
      <c r="E48" s="85" t="s">
        <v>217</v>
      </c>
      <c r="F48" s="85">
        <v>3</v>
      </c>
    </row>
    <row r="49" spans="1:6" ht="15">
      <c r="A49" s="85" t="s">
        <v>218</v>
      </c>
      <c r="B49" s="85">
        <v>3</v>
      </c>
      <c r="C49" s="85"/>
      <c r="D49" s="85"/>
      <c r="E49" s="85" t="s">
        <v>218</v>
      </c>
      <c r="F49" s="85">
        <v>3</v>
      </c>
    </row>
    <row r="50" spans="1:6" ht="15">
      <c r="A50" s="85" t="s">
        <v>219</v>
      </c>
      <c r="B50" s="85">
        <v>1</v>
      </c>
      <c r="C50" s="85"/>
      <c r="D50" s="85"/>
      <c r="E50" s="85"/>
      <c r="F50" s="85"/>
    </row>
    <row r="53" spans="1:6" ht="15" customHeight="1">
      <c r="A53" s="13" t="s">
        <v>460</v>
      </c>
      <c r="B53" s="13" t="s">
        <v>399</v>
      </c>
      <c r="C53" s="13" t="s">
        <v>461</v>
      </c>
      <c r="D53" s="13" t="s">
        <v>402</v>
      </c>
      <c r="E53" s="13" t="s">
        <v>462</v>
      </c>
      <c r="F53" s="13" t="s">
        <v>403</v>
      </c>
    </row>
    <row r="54" spans="1:6" ht="15">
      <c r="A54" s="127" t="s">
        <v>219</v>
      </c>
      <c r="B54" s="85">
        <v>268400</v>
      </c>
      <c r="C54" s="127" t="s">
        <v>219</v>
      </c>
      <c r="D54" s="85">
        <v>268400</v>
      </c>
      <c r="E54" s="127" t="s">
        <v>218</v>
      </c>
      <c r="F54" s="85">
        <v>1939</v>
      </c>
    </row>
    <row r="55" spans="1:6" ht="15">
      <c r="A55" s="127" t="s">
        <v>221</v>
      </c>
      <c r="B55" s="85">
        <v>5872</v>
      </c>
      <c r="C55" s="127" t="s">
        <v>221</v>
      </c>
      <c r="D55" s="85">
        <v>5872</v>
      </c>
      <c r="E55" s="127" t="s">
        <v>216</v>
      </c>
      <c r="F55" s="85">
        <v>1016</v>
      </c>
    </row>
    <row r="56" spans="1:6" ht="15">
      <c r="A56" s="127" t="s">
        <v>218</v>
      </c>
      <c r="B56" s="85">
        <v>1939</v>
      </c>
      <c r="C56" s="127" t="s">
        <v>217</v>
      </c>
      <c r="D56" s="85">
        <v>1155</v>
      </c>
      <c r="E56" s="127" t="s">
        <v>214</v>
      </c>
      <c r="F56" s="85">
        <v>480</v>
      </c>
    </row>
    <row r="57" spans="1:6" ht="15">
      <c r="A57" s="127" t="s">
        <v>217</v>
      </c>
      <c r="B57" s="85">
        <v>1155</v>
      </c>
      <c r="C57" s="127" t="s">
        <v>220</v>
      </c>
      <c r="D57" s="85">
        <v>540</v>
      </c>
      <c r="E57" s="127" t="s">
        <v>215</v>
      </c>
      <c r="F57" s="85">
        <v>278</v>
      </c>
    </row>
    <row r="58" spans="1:6" ht="15">
      <c r="A58" s="127" t="s">
        <v>216</v>
      </c>
      <c r="B58" s="85">
        <v>1016</v>
      </c>
      <c r="C58" s="127"/>
      <c r="D58" s="85"/>
      <c r="E58" s="127"/>
      <c r="F58" s="85"/>
    </row>
    <row r="59" spans="1:6" ht="15">
      <c r="A59" s="127" t="s">
        <v>220</v>
      </c>
      <c r="B59" s="85">
        <v>540</v>
      </c>
      <c r="C59" s="127"/>
      <c r="D59" s="85"/>
      <c r="E59" s="127"/>
      <c r="F59" s="85"/>
    </row>
    <row r="60" spans="1:6" ht="15">
      <c r="A60" s="127" t="s">
        <v>214</v>
      </c>
      <c r="B60" s="85">
        <v>480</v>
      </c>
      <c r="C60" s="127"/>
      <c r="D60" s="85"/>
      <c r="E60" s="127"/>
      <c r="F60" s="85"/>
    </row>
    <row r="61" spans="1:6" ht="15">
      <c r="A61" s="127" t="s">
        <v>215</v>
      </c>
      <c r="B61" s="85">
        <v>278</v>
      </c>
      <c r="C61" s="127"/>
      <c r="D61" s="85"/>
      <c r="E61" s="127"/>
      <c r="F61" s="85"/>
    </row>
  </sheetData>
  <hyperlinks>
    <hyperlink ref="A2" r:id="rId1" display="https://mailchi.mp/kombuchabrewers/hello-may-4806957"/>
    <hyperlink ref="C2" r:id="rId2" display="https://mailchi.mp/kombuchabrewers/hello-may-4806957"/>
  </hyperlinks>
  <printOptions/>
  <pageMargins left="0.7" right="0.7" top="0.75" bottom="0.75" header="0.3" footer="0.3"/>
  <pageSetup orientation="portrait" paperSize="9"/>
  <tableParts>
    <tablePart r:id="rId7"/>
    <tablePart r:id="rId8"/>
    <tablePart r:id="rId3"/>
    <tablePart r:id="rId10"/>
    <tablePart r:id="rId4"/>
    <tablePart r:id="rId5"/>
    <tablePart r:id="rId6"/>
    <tablePart r:id="rId9"/>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478</v>
      </c>
      <c r="B1" s="13" t="s">
        <v>494</v>
      </c>
      <c r="C1" s="13" t="s">
        <v>495</v>
      </c>
      <c r="D1" s="13" t="s">
        <v>144</v>
      </c>
      <c r="E1" s="13" t="s">
        <v>497</v>
      </c>
      <c r="F1" s="13" t="s">
        <v>498</v>
      </c>
      <c r="G1" s="13" t="s">
        <v>499</v>
      </c>
    </row>
    <row r="2" spans="1:7" ht="15">
      <c r="A2" s="85" t="s">
        <v>416</v>
      </c>
      <c r="B2" s="85">
        <v>6</v>
      </c>
      <c r="C2" s="132">
        <v>0.04838709677419355</v>
      </c>
      <c r="D2" s="85" t="s">
        <v>496</v>
      </c>
      <c r="E2" s="85"/>
      <c r="F2" s="85"/>
      <c r="G2" s="85"/>
    </row>
    <row r="3" spans="1:7" ht="15">
      <c r="A3" s="85" t="s">
        <v>417</v>
      </c>
      <c r="B3" s="85">
        <v>4</v>
      </c>
      <c r="C3" s="132">
        <v>0.03225806451612903</v>
      </c>
      <c r="D3" s="85" t="s">
        <v>496</v>
      </c>
      <c r="E3" s="85"/>
      <c r="F3" s="85"/>
      <c r="G3" s="85"/>
    </row>
    <row r="4" spans="1:7" ht="15">
      <c r="A4" s="85" t="s">
        <v>418</v>
      </c>
      <c r="B4" s="85">
        <v>0</v>
      </c>
      <c r="C4" s="132">
        <v>0</v>
      </c>
      <c r="D4" s="85" t="s">
        <v>496</v>
      </c>
      <c r="E4" s="85"/>
      <c r="F4" s="85"/>
      <c r="G4" s="85"/>
    </row>
    <row r="5" spans="1:7" ht="15">
      <c r="A5" s="85" t="s">
        <v>419</v>
      </c>
      <c r="B5" s="85">
        <v>114</v>
      </c>
      <c r="C5" s="132">
        <v>0.9193548387096775</v>
      </c>
      <c r="D5" s="85" t="s">
        <v>496</v>
      </c>
      <c r="E5" s="85"/>
      <c r="F5" s="85"/>
      <c r="G5" s="85"/>
    </row>
    <row r="6" spans="1:7" ht="15">
      <c r="A6" s="85" t="s">
        <v>420</v>
      </c>
      <c r="B6" s="85">
        <v>124</v>
      </c>
      <c r="C6" s="132">
        <v>1</v>
      </c>
      <c r="D6" s="85" t="s">
        <v>496</v>
      </c>
      <c r="E6" s="85"/>
      <c r="F6" s="85"/>
      <c r="G6" s="85"/>
    </row>
    <row r="7" spans="1:7" ht="15">
      <c r="A7" s="93" t="s">
        <v>421</v>
      </c>
      <c r="B7" s="93">
        <v>6</v>
      </c>
      <c r="C7" s="133">
        <v>0.01806179973983887</v>
      </c>
      <c r="D7" s="93" t="s">
        <v>496</v>
      </c>
      <c r="E7" s="93" t="b">
        <v>0</v>
      </c>
      <c r="F7" s="93" t="b">
        <v>0</v>
      </c>
      <c r="G7" s="93" t="b">
        <v>0</v>
      </c>
    </row>
    <row r="8" spans="1:7" ht="15">
      <c r="A8" s="93" t="s">
        <v>422</v>
      </c>
      <c r="B8" s="93">
        <v>3</v>
      </c>
      <c r="C8" s="133">
        <v>0.009030899869919435</v>
      </c>
      <c r="D8" s="93" t="s">
        <v>496</v>
      </c>
      <c r="E8" s="93" t="b">
        <v>0</v>
      </c>
      <c r="F8" s="93" t="b">
        <v>0</v>
      </c>
      <c r="G8" s="93" t="b">
        <v>0</v>
      </c>
    </row>
    <row r="9" spans="1:7" ht="15">
      <c r="A9" s="93" t="s">
        <v>423</v>
      </c>
      <c r="B9" s="93">
        <v>3</v>
      </c>
      <c r="C9" s="133">
        <v>0.009030899869919435</v>
      </c>
      <c r="D9" s="93" t="s">
        <v>496</v>
      </c>
      <c r="E9" s="93" t="b">
        <v>0</v>
      </c>
      <c r="F9" s="93" t="b">
        <v>0</v>
      </c>
      <c r="G9" s="93" t="b">
        <v>0</v>
      </c>
    </row>
    <row r="10" spans="1:7" ht="15">
      <c r="A10" s="93" t="s">
        <v>424</v>
      </c>
      <c r="B10" s="93">
        <v>3</v>
      </c>
      <c r="C10" s="133">
        <v>0.009030899869919435</v>
      </c>
      <c r="D10" s="93" t="s">
        <v>496</v>
      </c>
      <c r="E10" s="93" t="b">
        <v>0</v>
      </c>
      <c r="F10" s="93" t="b">
        <v>0</v>
      </c>
      <c r="G10" s="93" t="b">
        <v>0</v>
      </c>
    </row>
    <row r="11" spans="1:7" ht="15">
      <c r="A11" s="93" t="s">
        <v>425</v>
      </c>
      <c r="B11" s="93">
        <v>3</v>
      </c>
      <c r="C11" s="133">
        <v>0.009030899869919435</v>
      </c>
      <c r="D11" s="93" t="s">
        <v>496</v>
      </c>
      <c r="E11" s="93" t="b">
        <v>0</v>
      </c>
      <c r="F11" s="93" t="b">
        <v>1</v>
      </c>
      <c r="G11" s="93" t="b">
        <v>0</v>
      </c>
    </row>
    <row r="12" spans="1:7" ht="15">
      <c r="A12" s="93" t="s">
        <v>428</v>
      </c>
      <c r="B12" s="93">
        <v>3</v>
      </c>
      <c r="C12" s="133">
        <v>0.009030899869919435</v>
      </c>
      <c r="D12" s="93" t="s">
        <v>496</v>
      </c>
      <c r="E12" s="93" t="b">
        <v>0</v>
      </c>
      <c r="F12" s="93" t="b">
        <v>0</v>
      </c>
      <c r="G12" s="93" t="b">
        <v>0</v>
      </c>
    </row>
    <row r="13" spans="1:7" ht="15">
      <c r="A13" s="93" t="s">
        <v>429</v>
      </c>
      <c r="B13" s="93">
        <v>3</v>
      </c>
      <c r="C13" s="133">
        <v>0.009030899869919435</v>
      </c>
      <c r="D13" s="93" t="s">
        <v>496</v>
      </c>
      <c r="E13" s="93" t="b">
        <v>0</v>
      </c>
      <c r="F13" s="93" t="b">
        <v>0</v>
      </c>
      <c r="G13" s="93" t="b">
        <v>0</v>
      </c>
    </row>
    <row r="14" spans="1:7" ht="15">
      <c r="A14" s="93" t="s">
        <v>430</v>
      </c>
      <c r="B14" s="93">
        <v>3</v>
      </c>
      <c r="C14" s="133">
        <v>0.009030899869919435</v>
      </c>
      <c r="D14" s="93" t="s">
        <v>496</v>
      </c>
      <c r="E14" s="93" t="b">
        <v>1</v>
      </c>
      <c r="F14" s="93" t="b">
        <v>0</v>
      </c>
      <c r="G14" s="93" t="b">
        <v>0</v>
      </c>
    </row>
    <row r="15" spans="1:7" ht="15">
      <c r="A15" s="93" t="s">
        <v>431</v>
      </c>
      <c r="B15" s="93">
        <v>3</v>
      </c>
      <c r="C15" s="133">
        <v>0.009030899869919435</v>
      </c>
      <c r="D15" s="93" t="s">
        <v>496</v>
      </c>
      <c r="E15" s="93" t="b">
        <v>0</v>
      </c>
      <c r="F15" s="93" t="b">
        <v>0</v>
      </c>
      <c r="G15" s="93" t="b">
        <v>0</v>
      </c>
    </row>
    <row r="16" spans="1:7" ht="15">
      <c r="A16" s="93" t="s">
        <v>432</v>
      </c>
      <c r="B16" s="93">
        <v>3</v>
      </c>
      <c r="C16" s="133">
        <v>0.009030899869919435</v>
      </c>
      <c r="D16" s="93" t="s">
        <v>496</v>
      </c>
      <c r="E16" s="93" t="b">
        <v>0</v>
      </c>
      <c r="F16" s="93" t="b">
        <v>0</v>
      </c>
      <c r="G16" s="93" t="b">
        <v>0</v>
      </c>
    </row>
    <row r="17" spans="1:7" ht="15">
      <c r="A17" s="93" t="s">
        <v>479</v>
      </c>
      <c r="B17" s="93">
        <v>3</v>
      </c>
      <c r="C17" s="133">
        <v>0.009030899869919435</v>
      </c>
      <c r="D17" s="93" t="s">
        <v>496</v>
      </c>
      <c r="E17" s="93" t="b">
        <v>0</v>
      </c>
      <c r="F17" s="93" t="b">
        <v>0</v>
      </c>
      <c r="G17" s="93" t="b">
        <v>0</v>
      </c>
    </row>
    <row r="18" spans="1:7" ht="15">
      <c r="A18" s="93" t="s">
        <v>480</v>
      </c>
      <c r="B18" s="93">
        <v>3</v>
      </c>
      <c r="C18" s="133">
        <v>0.009030899869919435</v>
      </c>
      <c r="D18" s="93" t="s">
        <v>496</v>
      </c>
      <c r="E18" s="93" t="b">
        <v>0</v>
      </c>
      <c r="F18" s="93" t="b">
        <v>0</v>
      </c>
      <c r="G18" s="93" t="b">
        <v>0</v>
      </c>
    </row>
    <row r="19" spans="1:7" ht="15">
      <c r="A19" s="93" t="s">
        <v>481</v>
      </c>
      <c r="B19" s="93">
        <v>3</v>
      </c>
      <c r="C19" s="133">
        <v>0.009030899869919435</v>
      </c>
      <c r="D19" s="93" t="s">
        <v>496</v>
      </c>
      <c r="E19" s="93" t="b">
        <v>0</v>
      </c>
      <c r="F19" s="93" t="b">
        <v>0</v>
      </c>
      <c r="G19" s="93" t="b">
        <v>0</v>
      </c>
    </row>
    <row r="20" spans="1:7" ht="15">
      <c r="A20" s="93" t="s">
        <v>482</v>
      </c>
      <c r="B20" s="93">
        <v>3</v>
      </c>
      <c r="C20" s="133">
        <v>0.009030899869919435</v>
      </c>
      <c r="D20" s="93" t="s">
        <v>496</v>
      </c>
      <c r="E20" s="93" t="b">
        <v>0</v>
      </c>
      <c r="F20" s="93" t="b">
        <v>0</v>
      </c>
      <c r="G20" s="93" t="b">
        <v>0</v>
      </c>
    </row>
    <row r="21" spans="1:7" ht="15">
      <c r="A21" s="93" t="s">
        <v>483</v>
      </c>
      <c r="B21" s="93">
        <v>3</v>
      </c>
      <c r="C21" s="133">
        <v>0.009030899869919435</v>
      </c>
      <c r="D21" s="93" t="s">
        <v>496</v>
      </c>
      <c r="E21" s="93" t="b">
        <v>0</v>
      </c>
      <c r="F21" s="93" t="b">
        <v>0</v>
      </c>
      <c r="G21" s="93" t="b">
        <v>0</v>
      </c>
    </row>
    <row r="22" spans="1:7" ht="15">
      <c r="A22" s="93" t="s">
        <v>484</v>
      </c>
      <c r="B22" s="93">
        <v>3</v>
      </c>
      <c r="C22" s="133">
        <v>0.009030899869919435</v>
      </c>
      <c r="D22" s="93" t="s">
        <v>496</v>
      </c>
      <c r="E22" s="93" t="b">
        <v>0</v>
      </c>
      <c r="F22" s="93" t="b">
        <v>0</v>
      </c>
      <c r="G22" s="93" t="b">
        <v>0</v>
      </c>
    </row>
    <row r="23" spans="1:7" ht="15">
      <c r="A23" s="93" t="s">
        <v>485</v>
      </c>
      <c r="B23" s="93">
        <v>3</v>
      </c>
      <c r="C23" s="133">
        <v>0.009030899869919435</v>
      </c>
      <c r="D23" s="93" t="s">
        <v>496</v>
      </c>
      <c r="E23" s="93" t="b">
        <v>0</v>
      </c>
      <c r="F23" s="93" t="b">
        <v>0</v>
      </c>
      <c r="G23" s="93" t="b">
        <v>0</v>
      </c>
    </row>
    <row r="24" spans="1:7" ht="15">
      <c r="A24" s="93" t="s">
        <v>486</v>
      </c>
      <c r="B24" s="93">
        <v>3</v>
      </c>
      <c r="C24" s="133">
        <v>0.009030899869919435</v>
      </c>
      <c r="D24" s="93" t="s">
        <v>496</v>
      </c>
      <c r="E24" s="93" t="b">
        <v>0</v>
      </c>
      <c r="F24" s="93" t="b">
        <v>0</v>
      </c>
      <c r="G24" s="93" t="b">
        <v>0</v>
      </c>
    </row>
    <row r="25" spans="1:7" ht="15">
      <c r="A25" s="93" t="s">
        <v>487</v>
      </c>
      <c r="B25" s="93">
        <v>3</v>
      </c>
      <c r="C25" s="133">
        <v>0.009030899869919435</v>
      </c>
      <c r="D25" s="93" t="s">
        <v>496</v>
      </c>
      <c r="E25" s="93" t="b">
        <v>0</v>
      </c>
      <c r="F25" s="93" t="b">
        <v>0</v>
      </c>
      <c r="G25" s="93" t="b">
        <v>0</v>
      </c>
    </row>
    <row r="26" spans="1:7" ht="15">
      <c r="A26" s="93" t="s">
        <v>488</v>
      </c>
      <c r="B26" s="93">
        <v>3</v>
      </c>
      <c r="C26" s="133">
        <v>0.009030899869919435</v>
      </c>
      <c r="D26" s="93" t="s">
        <v>496</v>
      </c>
      <c r="E26" s="93" t="b">
        <v>0</v>
      </c>
      <c r="F26" s="93" t="b">
        <v>0</v>
      </c>
      <c r="G26" s="93" t="b">
        <v>0</v>
      </c>
    </row>
    <row r="27" spans="1:7" ht="15">
      <c r="A27" s="93" t="s">
        <v>489</v>
      </c>
      <c r="B27" s="93">
        <v>3</v>
      </c>
      <c r="C27" s="133">
        <v>0.009030899869919435</v>
      </c>
      <c r="D27" s="93" t="s">
        <v>496</v>
      </c>
      <c r="E27" s="93" t="b">
        <v>0</v>
      </c>
      <c r="F27" s="93" t="b">
        <v>0</v>
      </c>
      <c r="G27" s="93" t="b">
        <v>0</v>
      </c>
    </row>
    <row r="28" spans="1:7" ht="15">
      <c r="A28" s="93" t="s">
        <v>490</v>
      </c>
      <c r="B28" s="93">
        <v>3</v>
      </c>
      <c r="C28" s="133">
        <v>0.009030899869919435</v>
      </c>
      <c r="D28" s="93" t="s">
        <v>496</v>
      </c>
      <c r="E28" s="93" t="b">
        <v>0</v>
      </c>
      <c r="F28" s="93" t="b">
        <v>0</v>
      </c>
      <c r="G28" s="93" t="b">
        <v>0</v>
      </c>
    </row>
    <row r="29" spans="1:7" ht="15">
      <c r="A29" s="93" t="s">
        <v>491</v>
      </c>
      <c r="B29" s="93">
        <v>3</v>
      </c>
      <c r="C29" s="133">
        <v>0.009030899869919435</v>
      </c>
      <c r="D29" s="93" t="s">
        <v>496</v>
      </c>
      <c r="E29" s="93" t="b">
        <v>0</v>
      </c>
      <c r="F29" s="93" t="b">
        <v>0</v>
      </c>
      <c r="G29" s="93" t="b">
        <v>0</v>
      </c>
    </row>
    <row r="30" spans="1:7" ht="15">
      <c r="A30" s="93" t="s">
        <v>492</v>
      </c>
      <c r="B30" s="93">
        <v>3</v>
      </c>
      <c r="C30" s="133">
        <v>0.009030899869919435</v>
      </c>
      <c r="D30" s="93" t="s">
        <v>496</v>
      </c>
      <c r="E30" s="93" t="b">
        <v>0</v>
      </c>
      <c r="F30" s="93" t="b">
        <v>0</v>
      </c>
      <c r="G30" s="93" t="b">
        <v>0</v>
      </c>
    </row>
    <row r="31" spans="1:7" ht="15">
      <c r="A31" s="93" t="s">
        <v>493</v>
      </c>
      <c r="B31" s="93">
        <v>3</v>
      </c>
      <c r="C31" s="133">
        <v>0.009030899869919435</v>
      </c>
      <c r="D31" s="93" t="s">
        <v>496</v>
      </c>
      <c r="E31" s="93" t="b">
        <v>0</v>
      </c>
      <c r="F31" s="93" t="b">
        <v>0</v>
      </c>
      <c r="G31" s="93" t="b">
        <v>0</v>
      </c>
    </row>
    <row r="32" spans="1:7" ht="15">
      <c r="A32" s="93" t="s">
        <v>216</v>
      </c>
      <c r="B32" s="93">
        <v>3</v>
      </c>
      <c r="C32" s="133">
        <v>0.009030899869919435</v>
      </c>
      <c r="D32" s="93" t="s">
        <v>496</v>
      </c>
      <c r="E32" s="93" t="b">
        <v>0</v>
      </c>
      <c r="F32" s="93" t="b">
        <v>0</v>
      </c>
      <c r="G32" s="93" t="b">
        <v>0</v>
      </c>
    </row>
    <row r="33" spans="1:7" ht="15">
      <c r="A33" s="93" t="s">
        <v>217</v>
      </c>
      <c r="B33" s="93">
        <v>3</v>
      </c>
      <c r="C33" s="133">
        <v>0.009030899869919435</v>
      </c>
      <c r="D33" s="93" t="s">
        <v>496</v>
      </c>
      <c r="E33" s="93" t="b">
        <v>0</v>
      </c>
      <c r="F33" s="93" t="b">
        <v>0</v>
      </c>
      <c r="G33" s="93" t="b">
        <v>0</v>
      </c>
    </row>
    <row r="34" spans="1:7" ht="15">
      <c r="A34" s="93" t="s">
        <v>218</v>
      </c>
      <c r="B34" s="93">
        <v>3</v>
      </c>
      <c r="C34" s="133">
        <v>0.009030899869919435</v>
      </c>
      <c r="D34" s="93" t="s">
        <v>496</v>
      </c>
      <c r="E34" s="93" t="b">
        <v>0</v>
      </c>
      <c r="F34" s="93" t="b">
        <v>0</v>
      </c>
      <c r="G34" s="93" t="b">
        <v>0</v>
      </c>
    </row>
    <row r="35" spans="1:7" ht="15">
      <c r="A35" s="93" t="s">
        <v>421</v>
      </c>
      <c r="B35" s="93">
        <v>6</v>
      </c>
      <c r="C35" s="133">
        <v>0</v>
      </c>
      <c r="D35" s="93" t="s">
        <v>392</v>
      </c>
      <c r="E35" s="93" t="b">
        <v>0</v>
      </c>
      <c r="F35" s="93" t="b">
        <v>0</v>
      </c>
      <c r="G35" s="93" t="b">
        <v>0</v>
      </c>
    </row>
    <row r="36" spans="1:7" ht="15">
      <c r="A36" s="93" t="s">
        <v>422</v>
      </c>
      <c r="B36" s="93">
        <v>3</v>
      </c>
      <c r="C36" s="133">
        <v>0</v>
      </c>
      <c r="D36" s="93" t="s">
        <v>392</v>
      </c>
      <c r="E36" s="93" t="b">
        <v>0</v>
      </c>
      <c r="F36" s="93" t="b">
        <v>0</v>
      </c>
      <c r="G36" s="93" t="b">
        <v>0</v>
      </c>
    </row>
    <row r="37" spans="1:7" ht="15">
      <c r="A37" s="93" t="s">
        <v>423</v>
      </c>
      <c r="B37" s="93">
        <v>3</v>
      </c>
      <c r="C37" s="133">
        <v>0</v>
      </c>
      <c r="D37" s="93" t="s">
        <v>392</v>
      </c>
      <c r="E37" s="93" t="b">
        <v>0</v>
      </c>
      <c r="F37" s="93" t="b">
        <v>0</v>
      </c>
      <c r="G37" s="93" t="b">
        <v>0</v>
      </c>
    </row>
    <row r="38" spans="1:7" ht="15">
      <c r="A38" s="93" t="s">
        <v>424</v>
      </c>
      <c r="B38" s="93">
        <v>3</v>
      </c>
      <c r="C38" s="133">
        <v>0</v>
      </c>
      <c r="D38" s="93" t="s">
        <v>392</v>
      </c>
      <c r="E38" s="93" t="b">
        <v>0</v>
      </c>
      <c r="F38" s="93" t="b">
        <v>0</v>
      </c>
      <c r="G38" s="93" t="b">
        <v>0</v>
      </c>
    </row>
    <row r="39" spans="1:7" ht="15">
      <c r="A39" s="93" t="s">
        <v>425</v>
      </c>
      <c r="B39" s="93">
        <v>3</v>
      </c>
      <c r="C39" s="133">
        <v>0</v>
      </c>
      <c r="D39" s="93" t="s">
        <v>392</v>
      </c>
      <c r="E39" s="93" t="b">
        <v>0</v>
      </c>
      <c r="F39" s="93" t="b">
        <v>1</v>
      </c>
      <c r="G39" s="93" t="b">
        <v>0</v>
      </c>
    </row>
    <row r="40" spans="1:7" ht="15">
      <c r="A40" s="93" t="s">
        <v>428</v>
      </c>
      <c r="B40" s="93">
        <v>3</v>
      </c>
      <c r="C40" s="133">
        <v>0</v>
      </c>
      <c r="D40" s="93" t="s">
        <v>392</v>
      </c>
      <c r="E40" s="93" t="b">
        <v>0</v>
      </c>
      <c r="F40" s="93" t="b">
        <v>0</v>
      </c>
      <c r="G40" s="93" t="b">
        <v>0</v>
      </c>
    </row>
    <row r="41" spans="1:7" ht="15">
      <c r="A41" s="93" t="s">
        <v>429</v>
      </c>
      <c r="B41" s="93">
        <v>3</v>
      </c>
      <c r="C41" s="133">
        <v>0</v>
      </c>
      <c r="D41" s="93" t="s">
        <v>392</v>
      </c>
      <c r="E41" s="93" t="b">
        <v>0</v>
      </c>
      <c r="F41" s="93" t="b">
        <v>0</v>
      </c>
      <c r="G41" s="93" t="b">
        <v>0</v>
      </c>
    </row>
    <row r="42" spans="1:7" ht="15">
      <c r="A42" s="93" t="s">
        <v>430</v>
      </c>
      <c r="B42" s="93">
        <v>3</v>
      </c>
      <c r="C42" s="133">
        <v>0</v>
      </c>
      <c r="D42" s="93" t="s">
        <v>392</v>
      </c>
      <c r="E42" s="93" t="b">
        <v>1</v>
      </c>
      <c r="F42" s="93" t="b">
        <v>0</v>
      </c>
      <c r="G42" s="93" t="b">
        <v>0</v>
      </c>
    </row>
    <row r="43" spans="1:7" ht="15">
      <c r="A43" s="93" t="s">
        <v>431</v>
      </c>
      <c r="B43" s="93">
        <v>3</v>
      </c>
      <c r="C43" s="133">
        <v>0</v>
      </c>
      <c r="D43" s="93" t="s">
        <v>392</v>
      </c>
      <c r="E43" s="93" t="b">
        <v>0</v>
      </c>
      <c r="F43" s="93" t="b">
        <v>0</v>
      </c>
      <c r="G43" s="93" t="b">
        <v>0</v>
      </c>
    </row>
    <row r="44" spans="1:7" ht="15">
      <c r="A44" s="93" t="s">
        <v>432</v>
      </c>
      <c r="B44" s="93">
        <v>3</v>
      </c>
      <c r="C44" s="133">
        <v>0</v>
      </c>
      <c r="D44" s="93" t="s">
        <v>392</v>
      </c>
      <c r="E44" s="93" t="b">
        <v>0</v>
      </c>
      <c r="F44" s="93" t="b">
        <v>0</v>
      </c>
      <c r="G44" s="93" t="b">
        <v>0</v>
      </c>
    </row>
    <row r="45" spans="1:7" ht="15">
      <c r="A45" s="93" t="s">
        <v>479</v>
      </c>
      <c r="B45" s="93">
        <v>3</v>
      </c>
      <c r="C45" s="133">
        <v>0</v>
      </c>
      <c r="D45" s="93" t="s">
        <v>392</v>
      </c>
      <c r="E45" s="93" t="b">
        <v>0</v>
      </c>
      <c r="F45" s="93" t="b">
        <v>0</v>
      </c>
      <c r="G45" s="93" t="b">
        <v>0</v>
      </c>
    </row>
    <row r="46" spans="1:7" ht="15">
      <c r="A46" s="93" t="s">
        <v>480</v>
      </c>
      <c r="B46" s="93">
        <v>3</v>
      </c>
      <c r="C46" s="133">
        <v>0</v>
      </c>
      <c r="D46" s="93" t="s">
        <v>392</v>
      </c>
      <c r="E46" s="93" t="b">
        <v>0</v>
      </c>
      <c r="F46" s="93" t="b">
        <v>0</v>
      </c>
      <c r="G46" s="93" t="b">
        <v>0</v>
      </c>
    </row>
    <row r="47" spans="1:7" ht="15">
      <c r="A47" s="93" t="s">
        <v>481</v>
      </c>
      <c r="B47" s="93">
        <v>3</v>
      </c>
      <c r="C47" s="133">
        <v>0</v>
      </c>
      <c r="D47" s="93" t="s">
        <v>392</v>
      </c>
      <c r="E47" s="93" t="b">
        <v>0</v>
      </c>
      <c r="F47" s="93" t="b">
        <v>0</v>
      </c>
      <c r="G47" s="93" t="b">
        <v>0</v>
      </c>
    </row>
    <row r="48" spans="1:7" ht="15">
      <c r="A48" s="93" t="s">
        <v>482</v>
      </c>
      <c r="B48" s="93">
        <v>3</v>
      </c>
      <c r="C48" s="133">
        <v>0</v>
      </c>
      <c r="D48" s="93" t="s">
        <v>392</v>
      </c>
      <c r="E48" s="93" t="b">
        <v>0</v>
      </c>
      <c r="F48" s="93" t="b">
        <v>0</v>
      </c>
      <c r="G48" s="93" t="b">
        <v>0</v>
      </c>
    </row>
    <row r="49" spans="1:7" ht="15">
      <c r="A49" s="93" t="s">
        <v>483</v>
      </c>
      <c r="B49" s="93">
        <v>3</v>
      </c>
      <c r="C49" s="133">
        <v>0</v>
      </c>
      <c r="D49" s="93" t="s">
        <v>392</v>
      </c>
      <c r="E49" s="93" t="b">
        <v>0</v>
      </c>
      <c r="F49" s="93" t="b">
        <v>0</v>
      </c>
      <c r="G49" s="93" t="b">
        <v>0</v>
      </c>
    </row>
    <row r="50" spans="1:7" ht="15">
      <c r="A50" s="93" t="s">
        <v>484</v>
      </c>
      <c r="B50" s="93">
        <v>3</v>
      </c>
      <c r="C50" s="133">
        <v>0</v>
      </c>
      <c r="D50" s="93" t="s">
        <v>392</v>
      </c>
      <c r="E50" s="93" t="b">
        <v>0</v>
      </c>
      <c r="F50" s="93" t="b">
        <v>0</v>
      </c>
      <c r="G50" s="93" t="b">
        <v>0</v>
      </c>
    </row>
    <row r="51" spans="1:7" ht="15">
      <c r="A51" s="93" t="s">
        <v>485</v>
      </c>
      <c r="B51" s="93">
        <v>3</v>
      </c>
      <c r="C51" s="133">
        <v>0</v>
      </c>
      <c r="D51" s="93" t="s">
        <v>392</v>
      </c>
      <c r="E51" s="93" t="b">
        <v>0</v>
      </c>
      <c r="F51" s="93" t="b">
        <v>0</v>
      </c>
      <c r="G51" s="93" t="b">
        <v>0</v>
      </c>
    </row>
    <row r="52" spans="1:7" ht="15">
      <c r="A52" s="93" t="s">
        <v>486</v>
      </c>
      <c r="B52" s="93">
        <v>3</v>
      </c>
      <c r="C52" s="133">
        <v>0</v>
      </c>
      <c r="D52" s="93" t="s">
        <v>392</v>
      </c>
      <c r="E52" s="93" t="b">
        <v>0</v>
      </c>
      <c r="F52" s="93" t="b">
        <v>0</v>
      </c>
      <c r="G52" s="93" t="b">
        <v>0</v>
      </c>
    </row>
    <row r="53" spans="1:7" ht="15">
      <c r="A53" s="93" t="s">
        <v>487</v>
      </c>
      <c r="B53" s="93">
        <v>3</v>
      </c>
      <c r="C53" s="133">
        <v>0</v>
      </c>
      <c r="D53" s="93" t="s">
        <v>392</v>
      </c>
      <c r="E53" s="93" t="b">
        <v>0</v>
      </c>
      <c r="F53" s="93" t="b">
        <v>0</v>
      </c>
      <c r="G53" s="93" t="b">
        <v>0</v>
      </c>
    </row>
    <row r="54" spans="1:7" ht="15">
      <c r="A54" s="93" t="s">
        <v>488</v>
      </c>
      <c r="B54" s="93">
        <v>3</v>
      </c>
      <c r="C54" s="133">
        <v>0</v>
      </c>
      <c r="D54" s="93" t="s">
        <v>392</v>
      </c>
      <c r="E54" s="93" t="b">
        <v>0</v>
      </c>
      <c r="F54" s="93" t="b">
        <v>0</v>
      </c>
      <c r="G54" s="93" t="b">
        <v>0</v>
      </c>
    </row>
    <row r="55" spans="1:7" ht="15">
      <c r="A55" s="93" t="s">
        <v>489</v>
      </c>
      <c r="B55" s="93">
        <v>3</v>
      </c>
      <c r="C55" s="133">
        <v>0</v>
      </c>
      <c r="D55" s="93" t="s">
        <v>392</v>
      </c>
      <c r="E55" s="93" t="b">
        <v>0</v>
      </c>
      <c r="F55" s="93" t="b">
        <v>0</v>
      </c>
      <c r="G55" s="93" t="b">
        <v>0</v>
      </c>
    </row>
    <row r="56" spans="1:7" ht="15">
      <c r="A56" s="93" t="s">
        <v>490</v>
      </c>
      <c r="B56" s="93">
        <v>3</v>
      </c>
      <c r="C56" s="133">
        <v>0</v>
      </c>
      <c r="D56" s="93" t="s">
        <v>392</v>
      </c>
      <c r="E56" s="93" t="b">
        <v>0</v>
      </c>
      <c r="F56" s="93" t="b">
        <v>0</v>
      </c>
      <c r="G56" s="93" t="b">
        <v>0</v>
      </c>
    </row>
    <row r="57" spans="1:7" ht="15">
      <c r="A57" s="93" t="s">
        <v>491</v>
      </c>
      <c r="B57" s="93">
        <v>3</v>
      </c>
      <c r="C57" s="133">
        <v>0</v>
      </c>
      <c r="D57" s="93" t="s">
        <v>392</v>
      </c>
      <c r="E57" s="93" t="b">
        <v>0</v>
      </c>
      <c r="F57" s="93" t="b">
        <v>0</v>
      </c>
      <c r="G57" s="93" t="b">
        <v>0</v>
      </c>
    </row>
    <row r="58" spans="1:7" ht="15">
      <c r="A58" s="93" t="s">
        <v>492</v>
      </c>
      <c r="B58" s="93">
        <v>3</v>
      </c>
      <c r="C58" s="133">
        <v>0</v>
      </c>
      <c r="D58" s="93" t="s">
        <v>392</v>
      </c>
      <c r="E58" s="93" t="b">
        <v>0</v>
      </c>
      <c r="F58" s="93" t="b">
        <v>0</v>
      </c>
      <c r="G58" s="93" t="b">
        <v>0</v>
      </c>
    </row>
    <row r="59" spans="1:7" ht="15">
      <c r="A59" s="93" t="s">
        <v>493</v>
      </c>
      <c r="B59" s="93">
        <v>3</v>
      </c>
      <c r="C59" s="133">
        <v>0</v>
      </c>
      <c r="D59" s="93" t="s">
        <v>392</v>
      </c>
      <c r="E59" s="93" t="b">
        <v>0</v>
      </c>
      <c r="F59" s="93" t="b">
        <v>0</v>
      </c>
      <c r="G59" s="93" t="b">
        <v>0</v>
      </c>
    </row>
    <row r="60" spans="1:7" ht="15">
      <c r="A60" s="93" t="s">
        <v>216</v>
      </c>
      <c r="B60" s="93">
        <v>3</v>
      </c>
      <c r="C60" s="133">
        <v>0</v>
      </c>
      <c r="D60" s="93" t="s">
        <v>392</v>
      </c>
      <c r="E60" s="93" t="b">
        <v>0</v>
      </c>
      <c r="F60" s="93" t="b">
        <v>0</v>
      </c>
      <c r="G60" s="93" t="b">
        <v>0</v>
      </c>
    </row>
    <row r="61" spans="1:7" ht="15">
      <c r="A61" s="93" t="s">
        <v>217</v>
      </c>
      <c r="B61" s="93">
        <v>3</v>
      </c>
      <c r="C61" s="133">
        <v>0</v>
      </c>
      <c r="D61" s="93" t="s">
        <v>392</v>
      </c>
      <c r="E61" s="93" t="b">
        <v>0</v>
      </c>
      <c r="F61" s="93" t="b">
        <v>0</v>
      </c>
      <c r="G61" s="93" t="b">
        <v>0</v>
      </c>
    </row>
    <row r="62" spans="1:7" ht="15">
      <c r="A62" s="93" t="s">
        <v>218</v>
      </c>
      <c r="B62" s="93">
        <v>3</v>
      </c>
      <c r="C62" s="133">
        <v>0</v>
      </c>
      <c r="D62" s="93" t="s">
        <v>392</v>
      </c>
      <c r="E62" s="93" t="b">
        <v>0</v>
      </c>
      <c r="F62" s="93" t="b">
        <v>0</v>
      </c>
      <c r="G62"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2019-12-30T16:48:37Z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