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<sst xmlns="http://schemas.openxmlformats.org/spreadsheetml/2006/main" count="877" uniqueCount="484">
  <si>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</si>
  <si>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</si>
  <si>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</si>
  <si>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</si>
  <si>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</si>
  <si>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</si>
  <si>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</si>
  <si>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</si>
  <si>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</si>
  <si>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</si>
  <si>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</si>
  <si>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</si>
  <si>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</si>
  <si>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</si>
  <si>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</si>
  <si>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</si>
  <si>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</si>
  <si>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</si>
  <si>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</si>
  <si>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</si>
  <si>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</si>
  <si>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</si>
  <si>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</si>
  <si>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</si>
  <si>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</si>
  <si>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</si>
  <si>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</si>
  <si>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</si>
  <si>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</si>
  <si>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</si>
  <si>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</si>
  <si>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</si>
  <si>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</si>
  <si>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</si>
  <si>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</si>
  <si>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</si>
  <si>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</si>
  <si>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</si>
  <si>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</si>
  <si>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</si>
  <si>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</si>
  <si>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</si>
  <si>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</si>
  <si>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</si>
  <si>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</si>
  <si>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</si>
  <si>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</si>
  <si>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</si>
  <si>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</si>
  <si>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</si>
  <si>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</si>
  <si>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</si>
  <si>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</si>
  <si>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</si>
  <si>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</si>
  <si>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</si>
  <si>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</si>
  <si>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</si>
  <si>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</si>
  <si>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</si>
  <si>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</si>
  <si>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</si>
  <si>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</si>
  <si>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</si>
  <si>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</si>
  <si>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</si>
  <si>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</si>
  <si>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</si>
  <si>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</si>
  <si>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</si>
  <si>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</si>
  <si>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</si>
  <si>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</si>
  <si>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</si>
  <si>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</si>
  <si>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</si>
  <si>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</si>
  <si>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</si>
  <si>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</si>
  <si>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</si>
  <si>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</si>
  <si>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</si>
  <si>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</si>
  <si>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</si>
  <si>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</si>
  <si>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</si>
  <si>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</si>
  <si>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</si>
  <si>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</si>
  <si>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</si>
  <si>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</si>
  <si>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</si>
  <si>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</si>
  <si>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</si>
  <si>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</si>
  <si>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</si>
  <si>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</si>
  <si>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</si>
  <si>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</si>
  <si>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</si>
  <si>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</si>
  <si>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</si>
  <si>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</si>
  <si>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</si>
  <si>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</si>
  <si>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</si>
  <si>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</si>
  <si>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</si>
  <si>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</si>
  <si>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</si>
  <si>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</si>
  <si>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</si>
  <si>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</si>
  <si>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</si>
  <si>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</si>
  <si>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</si>
  <si>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</si>
  <si>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</si>
  <si>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</si>
  <si>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</si>
  <si>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</si>
  <si>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</si>
  <si>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</si>
  <si>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</si>
  <si>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</si>
  <si>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</si>
  <si>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</si>
  <si>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</si>
  <si>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</si>
  <si>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</si>
  <si>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</si>
  <si>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</si>
  <si>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</si>
  <si>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</si>
  <si>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</si>
  <si>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</si>
  <si>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</si>
  <si>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</si>
  <si>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</si>
  <si>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</si>
  <si>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</si>
  <si>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</si>
  <si>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</si>
  <si>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</si>
  <si>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</si>
  <si>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</si>
  <si>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</si>
  <si>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</si>
  <si>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</si>
  <si>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</si>
  <si>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</si>
  <si>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</si>
  <si>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</si>
  <si>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</si>
  <si>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</si>
  <si>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</si>
  <si>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</si>
  <si>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</si>
  <si>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</si>
  <si>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</si>
  <si>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</si>
  <si>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</si>
  <si>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</si>
  <si>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</si>
  <si>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</si>
  <si>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</si>
  <si>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</si>
  <si>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</si>
  <si>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</si>
  <si>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</si>
  <si>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</si>
  <si>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</si>
  <si>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</si>
  <si>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</si>
  <si>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</si>
  <si>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</si>
  <si>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</si>
  <si>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</si>
  <si>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</si>
  <si>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</si>
  <si>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</si>
  <si>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</si>
  <si>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</si>
  <si>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</si>
  <si>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</si>
  <si>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</si>
  <si>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</si>
  <si>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</si>
  <si>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</si>
  <si>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</si>
  <si>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</si>
  <si>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</si>
  <si>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</si>
  <si>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</si>
  <si>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</si>
  <si>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</si>
  <si>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</si>
  <si>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</si>
  <si>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</si>
  <si>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</si>
  <si>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</si>
  <si>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</si>
  <si>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</si>
  <si>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</si>
  <si>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</si>
  <si>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</si>
  <si>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</si>
  <si>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</si>
  <si>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</si>
  <si>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</si>
  <si>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</si>
  <si>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</si>
  <si>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</si>
  <si>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</si>
  <si>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dariusphilipp</t>
  </si>
  <si>
    <t>jwi_berlin</t>
  </si>
  <si>
    <t>camcam</t>
  </si>
  <si>
    <t>strippel</t>
  </si>
  <si>
    <t>jwi_polcomm14</t>
  </si>
  <si>
    <t>smr_foundation</t>
  </si>
  <si>
    <t>hiig_berlin</t>
  </si>
  <si>
    <t>marc_smith</t>
  </si>
  <si>
    <t>ckatzenbach</t>
  </si>
  <si>
    <t>Mentions</t>
  </si>
  <si>
    <t>Replies to</t>
  </si>
  <si>
    <t>@ckatzenbach @marc_smith @hiig_berlin @smr_foundation @jwi_polcomm14 @strippel @camcam @JWI_Berlin Thank you for the invite @ckatzenbach. I’m at #SocInfo2019 at the moment, but happy to go to other events at @hiig_berlin very soon</t>
  </si>
  <si>
    <t>socinfo2019</t>
  </si>
  <si>
    <t>http://pbs.twimg.com/profile_images/1131474948713791488/nry1aFRS_normal.jpg</t>
  </si>
  <si>
    <t>13:14:55</t>
  </si>
  <si>
    <t>https://twitter.com/dariusphilipp/status/1195691718777155584</t>
  </si>
  <si>
    <t>1195691718777155584</t>
  </si>
  <si>
    <t>1195311537088585730</t>
  </si>
  <si>
    <t>16327532</t>
  </si>
  <si>
    <t>en</t>
  </si>
  <si>
    <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</si>
  <si>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</si>
  <si>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</si>
  <si>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</si>
  <si>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</si>
  <si>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</si>
  <si>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</si>
  <si>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</si>
  <si>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</si>
  <si>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</si>
  <si>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</si>
  <si>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</si>
  <si>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</si>
  <si>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</si>
  <si>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</si>
  <si>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</si>
  <si>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</si>
  <si>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</si>
  <si>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</si>
  <si>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</si>
  <si>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</si>
  <si>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</si>
  <si>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</si>
  <si>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philipp_darius</t>
  </si>
  <si>
    <t>Weizenbaum-Institut</t>
  </si>
  <si>
    <t>Camille Roth</t>
  </si>
  <si>
    <t>Christian Strippel</t>
  </si>
  <si>
    <t>Weizenbaum Research Group Polcom</t>
  </si>
  <si>
    <t>SMR Foundation</t>
  </si>
  <si>
    <t>HIIG</t>
  </si>
  <si>
    <t>Marc Smith</t>
  </si>
  <si>
    <t>Christian Katzenbach</t>
  </si>
  <si>
    <t>PhD Candidate @thehertieschool | Politics and populism research | Computational Social Science | #DigitalSociety #DataScience #SocialNetworkAnalysis #Politics</t>
  </si>
  <si>
    <t>Hier twittert die Pressestelle des vom @WZB_Berlin koordinierten Weizenbaum-Instituts für die vernetzte Gesellschaft</t>
  </si>
  <si>
    <t>Tenured CNRS researcher, founder &amp; leader of Comp. Soc. Sci. team @css_cmb at @CentreMarcBloch 
/!/ now hiring docs &amp; post-docs under ERC @socsemics, see below</t>
  </si>
  <si>
    <t>Kommunikation und andere Unwahrscheinlichkeiten</t>
  </si>
  <si>
    <t>News, campaigns and the rationality of public discourse @JWI_Berlin</t>
  </si>
  <si>
    <t>We are a group of researchers who create tools, generate and host data, and support open scholarship related to social media.</t>
  </si>
  <si>
    <t>Stay up to date on digital society | Tweets for digital mavericks and internet researchers by Katrin Werner and Florian Lüdtke.</t>
  </si>
  <si>
    <t>Sociologist of computer-mediated collective action @ Connected Action http://t.co/5dRFa89a
Director: Social Media Research Foundation http://t.co/KPxyHajJ</t>
  </si>
  <si>
    <t>Senior Researcher, Research Group Lead @hiig_berlin. Prev. Interim Prof @pukberlin. Chair @DGPuK_DigiKomm. Co-Initiator @PolicyR. Father of 4.</t>
  </si>
  <si>
    <t>Berlin, Deutschland</t>
  </si>
  <si>
    <t>Berlin</t>
  </si>
  <si>
    <t>Berlin, Germany</t>
  </si>
  <si>
    <t>Silicon Valley, CA</t>
  </si>
  <si>
    <t>Belmont, CA, USA</t>
  </si>
  <si>
    <t>https://t.co/6dzviU8kJ5</t>
  </si>
  <si>
    <t>https://t.co/YRfZBG0KfB</t>
  </si>
  <si>
    <t>https://t.co/5l6ScLpQDF</t>
  </si>
  <si>
    <t>https://t.co/mmVTnZe0Sy</t>
  </si>
  <si>
    <t>https://t.co/FKKr76FLpx</t>
  </si>
  <si>
    <t>http://t.co/O0Gt9mqvGZ</t>
  </si>
  <si>
    <t>http://t.co/X1s40eTq9M</t>
  </si>
  <si>
    <t>https://t.co/9VyKpA397k</t>
  </si>
  <si>
    <t>https://pbs.twimg.com/profile_banners/999655757334315008/1529943470</t>
  </si>
  <si>
    <t>https://pbs.twimg.com/profile_banners/908301129850736640/1553181288</t>
  </si>
  <si>
    <t>https://pbs.twimg.com/profile_banners/24356808/1462739309</t>
  </si>
  <si>
    <t>https://pbs.twimg.com/profile_banners/1016342293866008576/1536159451</t>
  </si>
  <si>
    <t>https://pbs.twimg.com/profile_banners/151934168/1391403981</t>
  </si>
  <si>
    <t>https://pbs.twimg.com/profile_banners/334107188/1562937919</t>
  </si>
  <si>
    <t>https://pbs.twimg.com/profile_banners/12160482/1423267766</t>
  </si>
  <si>
    <t>https://pbs.twimg.com/profile_banners/16327532/1528234316</t>
  </si>
  <si>
    <t>http://abs.twimg.com/images/themes/theme1/bg.png</t>
  </si>
  <si>
    <t>http://abs.twimg.com/images/themes/theme6/bg.gif</t>
  </si>
  <si>
    <t>http://abs.twimg.com/images/themes/theme4/bg.gif</t>
  </si>
  <si>
    <t>http://abs.twimg.com/images/themes/theme3/bg.gif</t>
  </si>
  <si>
    <t>http://abs.twimg.com/images/themes/theme18/bg.gif</t>
  </si>
  <si>
    <t>http://pbs.twimg.com/profile_images/1131533338810998784/2ZRAqzU2_normal.jpg</t>
  </si>
  <si>
    <t>http://pbs.twimg.com/profile_images/702241665386475520/EZcLDYQz_normal.jpg</t>
  </si>
  <si>
    <t>http://pbs.twimg.com/profile_images/735028295952130048/RkqnhTAR_normal.jpg</t>
  </si>
  <si>
    <t>http://pbs.twimg.com/profile_images/1176024355442253824/9nuKmRd3_normal.jpg</t>
  </si>
  <si>
    <t>http://pbs.twimg.com/profile_images/849133030237061120/6hUrNP0a_normal.jpg</t>
  </si>
  <si>
    <t>http://pbs.twimg.com/profile_images/1149670117829206016/IVQKD-jK_normal.jpg</t>
  </si>
  <si>
    <t>http://pbs.twimg.com/profile_images/943596894831255552/cMOzkc5i_normal.jpg</t>
  </si>
  <si>
    <t>http://pbs.twimg.com/profile_images/1004103253997576194/qiK9_33y_normal.jpg</t>
  </si>
  <si>
    <t>Open Twitter Page for This Person</t>
  </si>
  <si>
    <t>https://twitter.com/dariusphilipp</t>
  </si>
  <si>
    <t>https://twitter.com/jwi_berlin</t>
  </si>
  <si>
    <t>https://twitter.com/camcam</t>
  </si>
  <si>
    <t>https://twitter.com/strippel</t>
  </si>
  <si>
    <t>https://twitter.com/jwi_polcomm14</t>
  </si>
  <si>
    <t>https://twitter.com/smr_foundation</t>
  </si>
  <si>
    <t>https://twitter.com/hiig_berlin</t>
  </si>
  <si>
    <t>https://twitter.com/marc_smith</t>
  </si>
  <si>
    <t>https://twitter.com/ckatzenbach</t>
  </si>
  <si>
    <t>dariusphilipp
@ckatzenbach @marc_smith @hiig_berlin
@smr_foundation @jwi_polcomm14
@strippel @camcam @JWI_Berlin Thank
you for the invite @ckatzenbach.
I’m at #SocInfo2019 at the moment,
but happy to go to other events
at @hiig_berlin very soon</t>
  </si>
  <si>
    <t xml:space="preserve">jwi_berlin
</t>
  </si>
  <si>
    <t xml:space="preserve">camcam
</t>
  </si>
  <si>
    <t xml:space="preserve">strippel
</t>
  </si>
  <si>
    <t xml:space="preserve">jwi_polcomm14
</t>
  </si>
  <si>
    <t xml:space="preserve">smr_foundation
</t>
  </si>
  <si>
    <t xml:space="preserve">hiig_berlin
</t>
  </si>
  <si>
    <t xml:space="preserve">marc_smith
</t>
  </si>
  <si>
    <t xml:space="preserve">ckatzenbach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</si>
  <si>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</si>
  <si>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</si>
  <si>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</si>
  <si>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</si>
  <si>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</si>
  <si>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</si>
  <si>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</si>
  <si>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</si>
  <si>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</si>
  <si>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</si>
  <si>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</si>
  <si>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</si>
  <si>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</si>
  <si>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</si>
  <si>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</si>
  <si>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</si>
  <si>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</si>
  <si>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</si>
  <si>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</si>
  <si>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</si>
  <si>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</si>
  <si>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</si>
  <si>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</si>
  <si>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</si>
  <si>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</si>
  <si>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</si>
  <si>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</si>
  <si>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</si>
  <si>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</si>
  <si>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</si>
  <si>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</si>
  <si>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</si>
  <si>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</si>
  <si>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</si>
  <si>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</si>
  <si>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</si>
  <si>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</si>
  <si>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</si>
  <si>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</si>
  <si>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</si>
  <si>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</si>
  <si>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</si>
  <si>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</si>
  <si>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</si>
  <si>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</si>
  <si>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</si>
  <si>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</si>
  <si>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</si>
  <si>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</si>
  <si>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</si>
  <si>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</si>
  <si>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</si>
  <si>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</si>
  <si>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</si>
  <si>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</si>
  <si>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</si>
  <si>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</si>
  <si>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</si>
  <si>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</si>
  <si>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</si>
  <si>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</si>
  <si>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</si>
  <si>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</si>
  <si>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ckatzenbach hiig_berlin</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</si>
  <si>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</si>
  <si>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</si>
  <si>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</si>
  <si>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</si>
  <si>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</si>
  <si>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</si>
  <si>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</si>
  <si>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</si>
  <si>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</si>
  <si>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marc_smith hiig_berlin smr_foundation jwi_polcomm14 strippel camcam jwi_berlin</t>
  </si>
  <si>
    <t>Top Tweeters in Entire Graph</t>
  </si>
  <si>
    <t>Top Tweeters in G1</t>
  </si>
  <si>
    <t>Top Tweeters</t>
  </si>
  <si>
    <t>ckatzenbach strippel marc_smith hiig_berlin smr_foundation jwi_berlin jwi_polcomm14 dariusphilipp camcam</t>
  </si>
  <si>
    <t>Top URLs in Tweet by Count</t>
  </si>
  <si>
    <t>Top URLs in Tweet by Salience</t>
  </si>
  <si>
    <t>Top Domains in Tweet by Count</t>
  </si>
  <si>
    <t>Top Domains in Tweet by Salience</t>
  </si>
  <si>
    <t>Top Hashtags in Tweet by Count</t>
  </si>
  <si>
    <t>Top Hashtags in Tweet by Salience</t>
  </si>
  <si>
    <t>Top Words in Tweet by Count</t>
  </si>
  <si>
    <t>ckatzenbach hiig_berlin marc_smith smr_foundation jwi_polcomm14 strippel camcam jwi_berlin thank invite</t>
  </si>
  <si>
    <t>Top Words in Tweet by Salience</t>
  </si>
  <si>
    <t>Top Word Pairs in Tweet by Count</t>
  </si>
  <si>
    <t>ckatzenbach,marc_smith  marc_smith,hiig_berlin  hiig_berlin,smr_foundation  smr_foundation,jwi_polcomm14  jwi_polcomm14,strippel  strippel,camcam  camcam,jwi_berlin  jwi_berlin,thank  thank,invite  invite,ckatzenbach</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</si>
  <si>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</si>
  <si>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</si>
  <si>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</si>
  <si>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</si>
  <si>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</si>
  <si>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</si>
  <si>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</si>
  <si>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</si>
  <si>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</si>
  <si>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</si>
  <si>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</si>
  <si>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</si>
  <si>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</si>
  <si>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</si>
  <si>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</si>
  <si>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</si>
  <si>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</si>
  <si>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</si>
  <si>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</si>
  <si>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</si>
  <si>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</si>
  <si>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</si>
  <si>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</si>
  <si>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</si>
  <si>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</si>
  <si>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</si>
  <si>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</si>
  <si>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</si>
  <si>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</si>
  <si>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</si>
  <si>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</si>
  <si>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</si>
  <si>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</si>
  <si>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</si>
  <si>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</si>
  <si>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</si>
  <si>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</si>
  <si>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</si>
  <si>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</si>
  <si>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</si>
  <si>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</si>
  <si>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</si>
  <si>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</si>
  <si>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</si>
  <si>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</si>
  <si>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</si>
  <si>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</si>
  <si>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</si>
  <si>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</si>
  <si>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</si>
  <si>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</si>
  <si>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</si>
  <si>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</si>
  <si>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</si>
  <si>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</si>
  <si>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</si>
  <si>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</si>
  <si>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</si>
  <si>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</si>
  <si>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</si>
  <si>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</si>
  <si>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</si>
  <si>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ckatzenbach hiig_berlin</t>
  </si>
  <si>
    <t>Autofill Workbook Results</t>
  </si>
  <si>
    <t>Edge Weight▓1▓1▓0▓True▓Green▓Red▓▓Edge Weight▓1▓1▓0▓3▓10▓False▓Edge Weight▓1▓1▓0▓32▓6▓False▓▓0▓0▓0▓True▓Black▓Black▓▓Followers▓63▓6551▓0▓162▓1000▓False▓Followers▓63▓11880▓0▓100▓70▓False▓▓0▓0▓0▓0▓0▓False▓▓0▓0▓0▓0▓0▓False</t>
  </si>
  <si>
    <t>Subgraph</t>
  </si>
  <si>
    <t>GraphSource░TwitterSearch▓GraphTerm░#SocInfo2019▓ImportDescription░The graph represents a network of 9 Twitter users whose recent tweets contained "#SocInfo2019", or who were replied to or mentioned in those tweets, taken from a data set limited to a maximum of 18,000 tweets.  The network was obtained from Twitter on Saturday, 16 November 2019 at 14:06 UTC.
The tweets in the network were tweeted over the 0-minute period from Saturday, 16 November 2019 at 13:14 UTC to Saturday, 16 November 2019 at 13:14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</si>
</sst>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944818"/>
        <c:axId val="20632451"/>
      </c:barChart>
      <c:catAx>
        <c:axId val="61944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32451"/>
        <c:crosses val="autoZero"/>
        <c:auto val="1"/>
        <c:lblOffset val="100"/>
        <c:noMultiLvlLbl val="0"/>
      </c:catAx>
      <c:valAx>
        <c:axId val="20632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4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474332"/>
        <c:axId val="60615805"/>
      </c:barChart>
      <c:catAx>
        <c:axId val="514743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15805"/>
        <c:crosses val="autoZero"/>
        <c:auto val="1"/>
        <c:lblOffset val="100"/>
        <c:noMultiLvlLbl val="0"/>
      </c:catAx>
      <c:valAx>
        <c:axId val="60615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4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671334"/>
        <c:axId val="10933143"/>
      </c:barChart>
      <c:catAx>
        <c:axId val="86713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33143"/>
        <c:crosses val="autoZero"/>
        <c:auto val="1"/>
        <c:lblOffset val="100"/>
        <c:noMultiLvlLbl val="0"/>
      </c:catAx>
      <c:valAx>
        <c:axId val="10933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289424"/>
        <c:axId val="13169361"/>
      </c:barChart>
      <c:catAx>
        <c:axId val="312894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169361"/>
        <c:crosses val="autoZero"/>
        <c:auto val="1"/>
        <c:lblOffset val="100"/>
        <c:noMultiLvlLbl val="0"/>
      </c:catAx>
      <c:valAx>
        <c:axId val="13169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89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415386"/>
        <c:axId val="60085291"/>
      </c:barChart>
      <c:catAx>
        <c:axId val="514153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85291"/>
        <c:crosses val="autoZero"/>
        <c:auto val="1"/>
        <c:lblOffset val="100"/>
        <c:noMultiLvlLbl val="0"/>
      </c:catAx>
      <c:valAx>
        <c:axId val="6008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96708"/>
        <c:axId val="35070373"/>
      </c:barChart>
      <c:catAx>
        <c:axId val="38967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70373"/>
        <c:crosses val="autoZero"/>
        <c:auto val="1"/>
        <c:lblOffset val="100"/>
        <c:noMultiLvlLbl val="0"/>
      </c:catAx>
      <c:valAx>
        <c:axId val="3507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6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197902"/>
        <c:axId val="22127935"/>
      </c:barChart>
      <c:catAx>
        <c:axId val="471979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27935"/>
        <c:crosses val="autoZero"/>
        <c:auto val="1"/>
        <c:lblOffset val="100"/>
        <c:noMultiLvlLbl val="0"/>
      </c:catAx>
      <c:valAx>
        <c:axId val="22127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933688"/>
        <c:axId val="47532281"/>
      </c:barChart>
      <c:catAx>
        <c:axId val="649336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532281"/>
        <c:crosses val="autoZero"/>
        <c:auto val="1"/>
        <c:lblOffset val="100"/>
        <c:noMultiLvlLbl val="0"/>
      </c:catAx>
      <c:valAx>
        <c:axId val="47532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137346"/>
        <c:axId val="24909523"/>
      </c:barChart>
      <c:catAx>
        <c:axId val="25137346"/>
        <c:scaling>
          <c:orientation val="minMax"/>
        </c:scaling>
        <c:axPos val="b"/>
        <c:delete val="1"/>
        <c:majorTickMark val="out"/>
        <c:minorTickMark val="none"/>
        <c:tickLblPos val="none"/>
        <c:crossAx val="24909523"/>
        <c:crosses val="autoZero"/>
        <c:auto val="1"/>
        <c:lblOffset val="100"/>
        <c:noMultiLvlLbl val="0"/>
      </c:catAx>
      <c:valAx>
        <c:axId val="24909523"/>
        <c:scaling>
          <c:orientation val="minMax"/>
        </c:scaling>
        <c:axPos val="l"/>
        <c:delete val="1"/>
        <c:majorTickMark val="out"/>
        <c:minorTickMark val="none"/>
        <c:tickLblPos val="none"/>
        <c:crossAx val="25137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ariusphilip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wi_berl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amca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tripp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wi_polcomm1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mr_foundat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hiig_berl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arc_smi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katzenba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0" totalsRowShown="0" headerRowDxfId="289" dataDxfId="288">
  <autoFilter ref="A2:BN10"/>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142" dataDxfId="141">
  <autoFilter ref="A1:D2"/>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135" dataDxfId="134">
  <autoFilter ref="A4:D5"/>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28" dataDxfId="127">
  <autoFilter ref="A7:D8"/>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1:D18" totalsRowShown="0" headerRowDxfId="121" dataDxfId="120">
  <autoFilter ref="A11:D18"/>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1:D22" totalsRowShown="0" headerRowDxfId="114" dataDxfId="113">
  <autoFilter ref="A21:D22"/>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4:D25" totalsRowShown="0" headerRowDxfId="107" dataDxfId="106">
  <autoFilter ref="A24:D25"/>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8:D35" totalsRowShown="0" headerRowDxfId="104" dataDxfId="103">
  <autoFilter ref="A28:D35"/>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38:D47" totalsRowShown="0" headerRowDxfId="93" dataDxfId="92">
  <autoFilter ref="A38:D47"/>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 totalsRowShown="0" headerRowDxfId="76" dataDxfId="75">
  <autoFilter ref="A1:G1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234" dataDxfId="233">
  <autoFilter ref="A2:BT11"/>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7" dataDxfId="66">
  <autoFilter ref="A1:L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0" totalsRowShown="0" headerRowDxfId="5" dataDxfId="4">
  <autoFilter ref="A1:B10"/>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188" dataDxfId="187">
  <autoFilter ref="A1:C10"/>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31474948713791488/nry1aFRS_normal.jpg" TargetMode="External" /><Relationship Id="rId2" Type="http://schemas.openxmlformats.org/officeDocument/2006/relationships/hyperlink" Target="http://pbs.twimg.com/profile_images/1131474948713791488/nry1aFRS_normal.jpg" TargetMode="External" /><Relationship Id="rId3" Type="http://schemas.openxmlformats.org/officeDocument/2006/relationships/hyperlink" Target="http://pbs.twimg.com/profile_images/1131474948713791488/nry1aFRS_normal.jpg" TargetMode="External" /><Relationship Id="rId4" Type="http://schemas.openxmlformats.org/officeDocument/2006/relationships/hyperlink" Target="http://pbs.twimg.com/profile_images/1131474948713791488/nry1aFRS_normal.jpg" TargetMode="External" /><Relationship Id="rId5" Type="http://schemas.openxmlformats.org/officeDocument/2006/relationships/hyperlink" Target="http://pbs.twimg.com/profile_images/1131474948713791488/nry1aFRS_normal.jpg" TargetMode="External" /><Relationship Id="rId6" Type="http://schemas.openxmlformats.org/officeDocument/2006/relationships/hyperlink" Target="http://pbs.twimg.com/profile_images/1131474948713791488/nry1aFRS_normal.jpg" TargetMode="External" /><Relationship Id="rId7" Type="http://schemas.openxmlformats.org/officeDocument/2006/relationships/hyperlink" Target="http://pbs.twimg.com/profile_images/1131474948713791488/nry1aFRS_normal.jpg" TargetMode="External" /><Relationship Id="rId8" Type="http://schemas.openxmlformats.org/officeDocument/2006/relationships/hyperlink" Target="http://pbs.twimg.com/profile_images/1131474948713791488/nry1aFRS_normal.jpg" TargetMode="External" /><Relationship Id="rId9" Type="http://schemas.openxmlformats.org/officeDocument/2006/relationships/hyperlink" Target="https://twitter.com/dariusphilipp/status/1195691718777155584" TargetMode="External" /><Relationship Id="rId10" Type="http://schemas.openxmlformats.org/officeDocument/2006/relationships/hyperlink" Target="https://twitter.com/dariusphilipp/status/1195691718777155584" TargetMode="External" /><Relationship Id="rId11" Type="http://schemas.openxmlformats.org/officeDocument/2006/relationships/hyperlink" Target="https://twitter.com/dariusphilipp/status/1195691718777155584" TargetMode="External" /><Relationship Id="rId12" Type="http://schemas.openxmlformats.org/officeDocument/2006/relationships/hyperlink" Target="https://twitter.com/dariusphilipp/status/1195691718777155584" TargetMode="External" /><Relationship Id="rId13" Type="http://schemas.openxmlformats.org/officeDocument/2006/relationships/hyperlink" Target="https://twitter.com/dariusphilipp/status/1195691718777155584" TargetMode="External" /><Relationship Id="rId14" Type="http://schemas.openxmlformats.org/officeDocument/2006/relationships/hyperlink" Target="https://twitter.com/dariusphilipp/status/1195691718777155584" TargetMode="External" /><Relationship Id="rId15" Type="http://schemas.openxmlformats.org/officeDocument/2006/relationships/hyperlink" Target="https://twitter.com/dariusphilipp/status/1195691718777155584" TargetMode="External" /><Relationship Id="rId16" Type="http://schemas.openxmlformats.org/officeDocument/2006/relationships/hyperlink" Target="https://twitter.com/dariusphilipp/status/1195691718777155584"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table" Target="../tables/table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dzviU8kJ5" TargetMode="External" /><Relationship Id="rId2" Type="http://schemas.openxmlformats.org/officeDocument/2006/relationships/hyperlink" Target="https://t.co/YRfZBG0KfB" TargetMode="External" /><Relationship Id="rId3" Type="http://schemas.openxmlformats.org/officeDocument/2006/relationships/hyperlink" Target="https://t.co/5l6ScLpQDF" TargetMode="External" /><Relationship Id="rId4" Type="http://schemas.openxmlformats.org/officeDocument/2006/relationships/hyperlink" Target="https://t.co/mmVTnZe0Sy" TargetMode="External" /><Relationship Id="rId5" Type="http://schemas.openxmlformats.org/officeDocument/2006/relationships/hyperlink" Target="https://t.co/FKKr76FLpx" TargetMode="External" /><Relationship Id="rId6" Type="http://schemas.openxmlformats.org/officeDocument/2006/relationships/hyperlink" Target="http://t.co/O0Gt9mqvGZ" TargetMode="External" /><Relationship Id="rId7" Type="http://schemas.openxmlformats.org/officeDocument/2006/relationships/hyperlink" Target="http://t.co/X1s40eTq9M" TargetMode="External" /><Relationship Id="rId8" Type="http://schemas.openxmlformats.org/officeDocument/2006/relationships/hyperlink" Target="https://t.co/9VyKpA397k" TargetMode="External" /><Relationship Id="rId9" Type="http://schemas.openxmlformats.org/officeDocument/2006/relationships/hyperlink" Target="https://pbs.twimg.com/profile_banners/999655757334315008/1529943470" TargetMode="External" /><Relationship Id="rId10" Type="http://schemas.openxmlformats.org/officeDocument/2006/relationships/hyperlink" Target="https://pbs.twimg.com/profile_banners/908301129850736640/1553181288" TargetMode="External" /><Relationship Id="rId11" Type="http://schemas.openxmlformats.org/officeDocument/2006/relationships/hyperlink" Target="https://pbs.twimg.com/profile_banners/24356808/1462739309" TargetMode="External" /><Relationship Id="rId12" Type="http://schemas.openxmlformats.org/officeDocument/2006/relationships/hyperlink" Target="https://pbs.twimg.com/profile_banners/1016342293866008576/1536159451" TargetMode="External" /><Relationship Id="rId13" Type="http://schemas.openxmlformats.org/officeDocument/2006/relationships/hyperlink" Target="https://pbs.twimg.com/profile_banners/151934168/1391403981" TargetMode="External" /><Relationship Id="rId14" Type="http://schemas.openxmlformats.org/officeDocument/2006/relationships/hyperlink" Target="https://pbs.twimg.com/profile_banners/334107188/1562937919" TargetMode="External" /><Relationship Id="rId15" Type="http://schemas.openxmlformats.org/officeDocument/2006/relationships/hyperlink" Target="https://pbs.twimg.com/profile_banners/12160482/1423267766" TargetMode="External" /><Relationship Id="rId16" Type="http://schemas.openxmlformats.org/officeDocument/2006/relationships/hyperlink" Target="https://pbs.twimg.com/profile_banners/16327532/1528234316"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6/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4/bg.gif" TargetMode="External" /><Relationship Id="rId23" Type="http://schemas.openxmlformats.org/officeDocument/2006/relationships/hyperlink" Target="http://abs.twimg.com/images/themes/theme3/bg.gif" TargetMode="External" /><Relationship Id="rId24" Type="http://schemas.openxmlformats.org/officeDocument/2006/relationships/hyperlink" Target="http://abs.twimg.com/images/themes/theme18/bg.gif" TargetMode="External" /><Relationship Id="rId25" Type="http://schemas.openxmlformats.org/officeDocument/2006/relationships/hyperlink" Target="http://pbs.twimg.com/profile_images/1131474948713791488/nry1aFRS_normal.jpg" TargetMode="External" /><Relationship Id="rId26" Type="http://schemas.openxmlformats.org/officeDocument/2006/relationships/hyperlink" Target="http://pbs.twimg.com/profile_images/1131533338810998784/2ZRAqzU2_normal.jpg" TargetMode="External" /><Relationship Id="rId27" Type="http://schemas.openxmlformats.org/officeDocument/2006/relationships/hyperlink" Target="http://pbs.twimg.com/profile_images/702241665386475520/EZcLDYQz_normal.jpg" TargetMode="External" /><Relationship Id="rId28" Type="http://schemas.openxmlformats.org/officeDocument/2006/relationships/hyperlink" Target="http://pbs.twimg.com/profile_images/735028295952130048/RkqnhTAR_normal.jpg" TargetMode="External" /><Relationship Id="rId29" Type="http://schemas.openxmlformats.org/officeDocument/2006/relationships/hyperlink" Target="http://pbs.twimg.com/profile_images/1176024355442253824/9nuKmRd3_normal.jpg" TargetMode="External" /><Relationship Id="rId30" Type="http://schemas.openxmlformats.org/officeDocument/2006/relationships/hyperlink" Target="http://pbs.twimg.com/profile_images/849133030237061120/6hUrNP0a_normal.jpg" TargetMode="External" /><Relationship Id="rId31" Type="http://schemas.openxmlformats.org/officeDocument/2006/relationships/hyperlink" Target="http://pbs.twimg.com/profile_images/1149670117829206016/IVQKD-jK_normal.jpg" TargetMode="External" /><Relationship Id="rId32" Type="http://schemas.openxmlformats.org/officeDocument/2006/relationships/hyperlink" Target="http://pbs.twimg.com/profile_images/943596894831255552/cMOzkc5i_normal.jpg" TargetMode="External" /><Relationship Id="rId33" Type="http://schemas.openxmlformats.org/officeDocument/2006/relationships/hyperlink" Target="http://pbs.twimg.com/profile_images/1004103253997576194/qiK9_33y_normal.jpg" TargetMode="External" /><Relationship Id="rId34" Type="http://schemas.openxmlformats.org/officeDocument/2006/relationships/hyperlink" Target="https://twitter.com/dariusphilipp" TargetMode="External" /><Relationship Id="rId35" Type="http://schemas.openxmlformats.org/officeDocument/2006/relationships/hyperlink" Target="https://twitter.com/jwi_berlin" TargetMode="External" /><Relationship Id="rId36" Type="http://schemas.openxmlformats.org/officeDocument/2006/relationships/hyperlink" Target="https://twitter.com/camcam" TargetMode="External" /><Relationship Id="rId37" Type="http://schemas.openxmlformats.org/officeDocument/2006/relationships/hyperlink" Target="https://twitter.com/strippel" TargetMode="External" /><Relationship Id="rId38" Type="http://schemas.openxmlformats.org/officeDocument/2006/relationships/hyperlink" Target="https://twitter.com/jwi_polcomm14" TargetMode="External" /><Relationship Id="rId39" Type="http://schemas.openxmlformats.org/officeDocument/2006/relationships/hyperlink" Target="https://twitter.com/smr_foundation" TargetMode="External" /><Relationship Id="rId40" Type="http://schemas.openxmlformats.org/officeDocument/2006/relationships/hyperlink" Target="https://twitter.com/hiig_berlin" TargetMode="External" /><Relationship Id="rId41" Type="http://schemas.openxmlformats.org/officeDocument/2006/relationships/hyperlink" Target="https://twitter.com/marc_smith" TargetMode="External" /><Relationship Id="rId42" Type="http://schemas.openxmlformats.org/officeDocument/2006/relationships/hyperlink" Target="https://twitter.com/ckatzenbach" TargetMode="External" /><Relationship Id="rId43" Type="http://schemas.openxmlformats.org/officeDocument/2006/relationships/comments" Target="../comments2.xml" /><Relationship Id="rId44" Type="http://schemas.openxmlformats.org/officeDocument/2006/relationships/vmlDrawing" Target="../drawings/vmlDrawing2.vml" /><Relationship Id="rId45" Type="http://schemas.openxmlformats.org/officeDocument/2006/relationships/table" Target="../tables/table2.xml" /><Relationship Id="rId46" Type="http://schemas.openxmlformats.org/officeDocument/2006/relationships/drawing" Target="../drawings/drawing1.xm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370</v>
      </c>
      <c r="BE2" s="13" t="s">
        <v>371</v>
      </c>
      <c r="BF2" s="68" t="s">
        <v>434</v>
      </c>
      <c r="BG2" s="68" t="s">
        <v>435</v>
      </c>
      <c r="BH2" s="68" t="s">
        <v>436</v>
      </c>
      <c r="BI2" s="68" t="s">
        <v>437</v>
      </c>
      <c r="BJ2" s="68" t="s">
        <v>438</v>
      </c>
      <c r="BK2" s="68" t="s">
        <v>439</v>
      </c>
      <c r="BL2" s="68" t="s">
        <v>440</v>
      </c>
      <c r="BM2" s="68" t="s">
        <v>441</v>
      </c>
      <c r="BN2" s="68" t="s">
        <v>442</v>
      </c>
    </row>
    <row r="3" spans="1:66" ht="15" customHeight="1">
      <c r="A3" s="85" t="s">
        <v>214</v>
      </c>
      <c r="B3" s="85" t="s">
        <v>215</v>
      </c>
      <c r="C3" s="53" t="s">
        <v>478</v>
      </c>
      <c r="D3" s="54">
        <v>3</v>
      </c>
      <c r="E3" s="66" t="s">
        <v>132</v>
      </c>
      <c r="F3" s="55">
        <v>32</v>
      </c>
      <c r="G3" s="53"/>
      <c r="H3" s="57"/>
      <c r="I3" s="56"/>
      <c r="J3" s="56"/>
      <c r="K3" s="36" t="s">
        <v>65</v>
      </c>
      <c r="L3" s="62">
        <v>3</v>
      </c>
      <c r="M3" s="62"/>
      <c r="N3" s="63"/>
      <c r="O3" s="86" t="s">
        <v>223</v>
      </c>
      <c r="P3" s="88">
        <v>43785.55202546297</v>
      </c>
      <c r="Q3" s="86" t="s">
        <v>225</v>
      </c>
      <c r="R3" s="86"/>
      <c r="S3" s="86"/>
      <c r="T3" s="86" t="s">
        <v>226</v>
      </c>
      <c r="U3" s="86"/>
      <c r="V3" s="90" t="s">
        <v>227</v>
      </c>
      <c r="W3" s="88">
        <v>43785.55202546297</v>
      </c>
      <c r="X3" s="92">
        <v>43785</v>
      </c>
      <c r="Y3" s="94" t="s">
        <v>228</v>
      </c>
      <c r="Z3" s="90" t="s">
        <v>229</v>
      </c>
      <c r="AA3" s="86"/>
      <c r="AB3" s="86"/>
      <c r="AC3" s="94" t="s">
        <v>230</v>
      </c>
      <c r="AD3" s="94" t="s">
        <v>231</v>
      </c>
      <c r="AE3" s="86" t="b">
        <v>0</v>
      </c>
      <c r="AF3" s="86">
        <v>1</v>
      </c>
      <c r="AG3" s="94" t="s">
        <v>232</v>
      </c>
      <c r="AH3" s="86" t="b">
        <v>0</v>
      </c>
      <c r="AI3" s="86" t="s">
        <v>233</v>
      </c>
      <c r="AJ3" s="86"/>
      <c r="AK3" s="94" t="s">
        <v>234</v>
      </c>
      <c r="AL3" s="86" t="b">
        <v>0</v>
      </c>
      <c r="AM3" s="86">
        <v>0</v>
      </c>
      <c r="AN3" s="94" t="s">
        <v>234</v>
      </c>
      <c r="AO3" s="86" t="s">
        <v>235</v>
      </c>
      <c r="AP3" s="86" t="b">
        <v>0</v>
      </c>
      <c r="AQ3" s="94" t="s">
        <v>231</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216</v>
      </c>
      <c r="C4" s="53" t="s">
        <v>478</v>
      </c>
      <c r="D4" s="54">
        <v>3</v>
      </c>
      <c r="E4" s="66" t="s">
        <v>132</v>
      </c>
      <c r="F4" s="55">
        <v>32</v>
      </c>
      <c r="G4" s="53"/>
      <c r="H4" s="57"/>
      <c r="I4" s="56"/>
      <c r="J4" s="56"/>
      <c r="K4" s="36" t="s">
        <v>65</v>
      </c>
      <c r="L4" s="84">
        <v>4</v>
      </c>
      <c r="M4" s="84"/>
      <c r="N4" s="63"/>
      <c r="O4" s="87" t="s">
        <v>223</v>
      </c>
      <c r="P4" s="89">
        <v>43785.55202546297</v>
      </c>
      <c r="Q4" s="87" t="s">
        <v>225</v>
      </c>
      <c r="R4" s="87"/>
      <c r="S4" s="87"/>
      <c r="T4" s="87" t="s">
        <v>226</v>
      </c>
      <c r="U4" s="87"/>
      <c r="V4" s="91" t="s">
        <v>227</v>
      </c>
      <c r="W4" s="89">
        <v>43785.55202546297</v>
      </c>
      <c r="X4" s="93">
        <v>43785</v>
      </c>
      <c r="Y4" s="95" t="s">
        <v>228</v>
      </c>
      <c r="Z4" s="91" t="s">
        <v>229</v>
      </c>
      <c r="AA4" s="87"/>
      <c r="AB4" s="87"/>
      <c r="AC4" s="95" t="s">
        <v>230</v>
      </c>
      <c r="AD4" s="95" t="s">
        <v>231</v>
      </c>
      <c r="AE4" s="87" t="b">
        <v>0</v>
      </c>
      <c r="AF4" s="87">
        <v>1</v>
      </c>
      <c r="AG4" s="95" t="s">
        <v>232</v>
      </c>
      <c r="AH4" s="87" t="b">
        <v>0</v>
      </c>
      <c r="AI4" s="87" t="s">
        <v>233</v>
      </c>
      <c r="AJ4" s="87"/>
      <c r="AK4" s="95" t="s">
        <v>234</v>
      </c>
      <c r="AL4" s="87" t="b">
        <v>0</v>
      </c>
      <c r="AM4" s="87">
        <v>0</v>
      </c>
      <c r="AN4" s="95" t="s">
        <v>234</v>
      </c>
      <c r="AO4" s="87" t="s">
        <v>235</v>
      </c>
      <c r="AP4" s="87" t="b">
        <v>0</v>
      </c>
      <c r="AQ4" s="95" t="s">
        <v>231</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15">
      <c r="A5" s="85" t="s">
        <v>214</v>
      </c>
      <c r="B5" s="85" t="s">
        <v>217</v>
      </c>
      <c r="C5" s="53" t="s">
        <v>478</v>
      </c>
      <c r="D5" s="54">
        <v>3</v>
      </c>
      <c r="E5" s="66" t="s">
        <v>132</v>
      </c>
      <c r="F5" s="55">
        <v>32</v>
      </c>
      <c r="G5" s="53"/>
      <c r="H5" s="57"/>
      <c r="I5" s="56"/>
      <c r="J5" s="56"/>
      <c r="K5" s="36" t="s">
        <v>65</v>
      </c>
      <c r="L5" s="84">
        <v>5</v>
      </c>
      <c r="M5" s="84"/>
      <c r="N5" s="63"/>
      <c r="O5" s="87" t="s">
        <v>223</v>
      </c>
      <c r="P5" s="89">
        <v>43785.55202546297</v>
      </c>
      <c r="Q5" s="87" t="s">
        <v>225</v>
      </c>
      <c r="R5" s="87"/>
      <c r="S5" s="87"/>
      <c r="T5" s="87" t="s">
        <v>226</v>
      </c>
      <c r="U5" s="87"/>
      <c r="V5" s="91" t="s">
        <v>227</v>
      </c>
      <c r="W5" s="89">
        <v>43785.55202546297</v>
      </c>
      <c r="X5" s="93">
        <v>43785</v>
      </c>
      <c r="Y5" s="95" t="s">
        <v>228</v>
      </c>
      <c r="Z5" s="91" t="s">
        <v>229</v>
      </c>
      <c r="AA5" s="87"/>
      <c r="AB5" s="87"/>
      <c r="AC5" s="95" t="s">
        <v>230</v>
      </c>
      <c r="AD5" s="95" t="s">
        <v>231</v>
      </c>
      <c r="AE5" s="87" t="b">
        <v>0</v>
      </c>
      <c r="AF5" s="87">
        <v>1</v>
      </c>
      <c r="AG5" s="95" t="s">
        <v>232</v>
      </c>
      <c r="AH5" s="87" t="b">
        <v>0</v>
      </c>
      <c r="AI5" s="87" t="s">
        <v>233</v>
      </c>
      <c r="AJ5" s="87"/>
      <c r="AK5" s="95" t="s">
        <v>234</v>
      </c>
      <c r="AL5" s="87" t="b">
        <v>0</v>
      </c>
      <c r="AM5" s="87">
        <v>0</v>
      </c>
      <c r="AN5" s="95" t="s">
        <v>234</v>
      </c>
      <c r="AO5" s="87" t="s">
        <v>235</v>
      </c>
      <c r="AP5" s="87" t="b">
        <v>0</v>
      </c>
      <c r="AQ5" s="95" t="s">
        <v>231</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15">
      <c r="A6" s="85" t="s">
        <v>214</v>
      </c>
      <c r="B6" s="85" t="s">
        <v>218</v>
      </c>
      <c r="C6" s="53" t="s">
        <v>478</v>
      </c>
      <c r="D6" s="54">
        <v>3</v>
      </c>
      <c r="E6" s="66" t="s">
        <v>132</v>
      </c>
      <c r="F6" s="55">
        <v>32</v>
      </c>
      <c r="G6" s="53"/>
      <c r="H6" s="57"/>
      <c r="I6" s="56"/>
      <c r="J6" s="56"/>
      <c r="K6" s="36" t="s">
        <v>65</v>
      </c>
      <c r="L6" s="84">
        <v>6</v>
      </c>
      <c r="M6" s="84"/>
      <c r="N6" s="63"/>
      <c r="O6" s="87" t="s">
        <v>223</v>
      </c>
      <c r="P6" s="89">
        <v>43785.55202546297</v>
      </c>
      <c r="Q6" s="87" t="s">
        <v>225</v>
      </c>
      <c r="R6" s="87"/>
      <c r="S6" s="87"/>
      <c r="T6" s="87" t="s">
        <v>226</v>
      </c>
      <c r="U6" s="87"/>
      <c r="V6" s="91" t="s">
        <v>227</v>
      </c>
      <c r="W6" s="89">
        <v>43785.55202546297</v>
      </c>
      <c r="X6" s="93">
        <v>43785</v>
      </c>
      <c r="Y6" s="95" t="s">
        <v>228</v>
      </c>
      <c r="Z6" s="91" t="s">
        <v>229</v>
      </c>
      <c r="AA6" s="87"/>
      <c r="AB6" s="87"/>
      <c r="AC6" s="95" t="s">
        <v>230</v>
      </c>
      <c r="AD6" s="95" t="s">
        <v>231</v>
      </c>
      <c r="AE6" s="87" t="b">
        <v>0</v>
      </c>
      <c r="AF6" s="87">
        <v>1</v>
      </c>
      <c r="AG6" s="95" t="s">
        <v>232</v>
      </c>
      <c r="AH6" s="87" t="b">
        <v>0</v>
      </c>
      <c r="AI6" s="87" t="s">
        <v>233</v>
      </c>
      <c r="AJ6" s="87"/>
      <c r="AK6" s="95" t="s">
        <v>234</v>
      </c>
      <c r="AL6" s="87" t="b">
        <v>0</v>
      </c>
      <c r="AM6" s="87">
        <v>0</v>
      </c>
      <c r="AN6" s="95" t="s">
        <v>234</v>
      </c>
      <c r="AO6" s="87" t="s">
        <v>235</v>
      </c>
      <c r="AP6" s="87" t="b">
        <v>0</v>
      </c>
      <c r="AQ6" s="95" t="s">
        <v>231</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15">
      <c r="A7" s="85" t="s">
        <v>214</v>
      </c>
      <c r="B7" s="85" t="s">
        <v>219</v>
      </c>
      <c r="C7" s="53" t="s">
        <v>478</v>
      </c>
      <c r="D7" s="54">
        <v>3</v>
      </c>
      <c r="E7" s="66" t="s">
        <v>132</v>
      </c>
      <c r="F7" s="55">
        <v>32</v>
      </c>
      <c r="G7" s="53"/>
      <c r="H7" s="57"/>
      <c r="I7" s="56"/>
      <c r="J7" s="56"/>
      <c r="K7" s="36" t="s">
        <v>65</v>
      </c>
      <c r="L7" s="84">
        <v>7</v>
      </c>
      <c r="M7" s="84"/>
      <c r="N7" s="63"/>
      <c r="O7" s="87" t="s">
        <v>223</v>
      </c>
      <c r="P7" s="89">
        <v>43785.55202546297</v>
      </c>
      <c r="Q7" s="87" t="s">
        <v>225</v>
      </c>
      <c r="R7" s="87"/>
      <c r="S7" s="87"/>
      <c r="T7" s="87" t="s">
        <v>226</v>
      </c>
      <c r="U7" s="87"/>
      <c r="V7" s="91" t="s">
        <v>227</v>
      </c>
      <c r="W7" s="89">
        <v>43785.55202546297</v>
      </c>
      <c r="X7" s="93">
        <v>43785</v>
      </c>
      <c r="Y7" s="95" t="s">
        <v>228</v>
      </c>
      <c r="Z7" s="91" t="s">
        <v>229</v>
      </c>
      <c r="AA7" s="87"/>
      <c r="AB7" s="87"/>
      <c r="AC7" s="95" t="s">
        <v>230</v>
      </c>
      <c r="AD7" s="95" t="s">
        <v>231</v>
      </c>
      <c r="AE7" s="87" t="b">
        <v>0</v>
      </c>
      <c r="AF7" s="87">
        <v>1</v>
      </c>
      <c r="AG7" s="95" t="s">
        <v>232</v>
      </c>
      <c r="AH7" s="87" t="b">
        <v>0</v>
      </c>
      <c r="AI7" s="87" t="s">
        <v>233</v>
      </c>
      <c r="AJ7" s="87"/>
      <c r="AK7" s="95" t="s">
        <v>234</v>
      </c>
      <c r="AL7" s="87" t="b">
        <v>0</v>
      </c>
      <c r="AM7" s="87">
        <v>0</v>
      </c>
      <c r="AN7" s="95" t="s">
        <v>234</v>
      </c>
      <c r="AO7" s="87" t="s">
        <v>235</v>
      </c>
      <c r="AP7" s="87" t="b">
        <v>0</v>
      </c>
      <c r="AQ7" s="95" t="s">
        <v>231</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15">
      <c r="A8" s="85" t="s">
        <v>214</v>
      </c>
      <c r="B8" s="85" t="s">
        <v>220</v>
      </c>
      <c r="C8" s="53" t="s">
        <v>478</v>
      </c>
      <c r="D8" s="54">
        <v>3</v>
      </c>
      <c r="E8" s="66" t="s">
        <v>132</v>
      </c>
      <c r="F8" s="55">
        <v>32</v>
      </c>
      <c r="G8" s="53"/>
      <c r="H8" s="57"/>
      <c r="I8" s="56"/>
      <c r="J8" s="56"/>
      <c r="K8" s="36" t="s">
        <v>65</v>
      </c>
      <c r="L8" s="84">
        <v>8</v>
      </c>
      <c r="M8" s="84"/>
      <c r="N8" s="63"/>
      <c r="O8" s="87" t="s">
        <v>223</v>
      </c>
      <c r="P8" s="89">
        <v>43785.55202546297</v>
      </c>
      <c r="Q8" s="87" t="s">
        <v>225</v>
      </c>
      <c r="R8" s="87"/>
      <c r="S8" s="87"/>
      <c r="T8" s="87" t="s">
        <v>226</v>
      </c>
      <c r="U8" s="87"/>
      <c r="V8" s="91" t="s">
        <v>227</v>
      </c>
      <c r="W8" s="89">
        <v>43785.55202546297</v>
      </c>
      <c r="X8" s="93">
        <v>43785</v>
      </c>
      <c r="Y8" s="95" t="s">
        <v>228</v>
      </c>
      <c r="Z8" s="91" t="s">
        <v>229</v>
      </c>
      <c r="AA8" s="87"/>
      <c r="AB8" s="87"/>
      <c r="AC8" s="95" t="s">
        <v>230</v>
      </c>
      <c r="AD8" s="95" t="s">
        <v>231</v>
      </c>
      <c r="AE8" s="87" t="b">
        <v>0</v>
      </c>
      <c r="AF8" s="87">
        <v>1</v>
      </c>
      <c r="AG8" s="95" t="s">
        <v>232</v>
      </c>
      <c r="AH8" s="87" t="b">
        <v>0</v>
      </c>
      <c r="AI8" s="87" t="s">
        <v>233</v>
      </c>
      <c r="AJ8" s="87"/>
      <c r="AK8" s="95" t="s">
        <v>234</v>
      </c>
      <c r="AL8" s="87" t="b">
        <v>0</v>
      </c>
      <c r="AM8" s="87">
        <v>0</v>
      </c>
      <c r="AN8" s="95" t="s">
        <v>234</v>
      </c>
      <c r="AO8" s="87" t="s">
        <v>235</v>
      </c>
      <c r="AP8" s="87" t="b">
        <v>0</v>
      </c>
      <c r="AQ8" s="95" t="s">
        <v>231</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15">
      <c r="A9" s="85" t="s">
        <v>214</v>
      </c>
      <c r="B9" s="85" t="s">
        <v>221</v>
      </c>
      <c r="C9" s="53" t="s">
        <v>478</v>
      </c>
      <c r="D9" s="54">
        <v>3</v>
      </c>
      <c r="E9" s="66" t="s">
        <v>132</v>
      </c>
      <c r="F9" s="55">
        <v>32</v>
      </c>
      <c r="G9" s="53"/>
      <c r="H9" s="57"/>
      <c r="I9" s="56"/>
      <c r="J9" s="56"/>
      <c r="K9" s="36" t="s">
        <v>65</v>
      </c>
      <c r="L9" s="84">
        <v>9</v>
      </c>
      <c r="M9" s="84"/>
      <c r="N9" s="63"/>
      <c r="O9" s="87" t="s">
        <v>223</v>
      </c>
      <c r="P9" s="89">
        <v>43785.55202546297</v>
      </c>
      <c r="Q9" s="87" t="s">
        <v>225</v>
      </c>
      <c r="R9" s="87"/>
      <c r="S9" s="87"/>
      <c r="T9" s="87" t="s">
        <v>226</v>
      </c>
      <c r="U9" s="87"/>
      <c r="V9" s="91" t="s">
        <v>227</v>
      </c>
      <c r="W9" s="89">
        <v>43785.55202546297</v>
      </c>
      <c r="X9" s="93">
        <v>43785</v>
      </c>
      <c r="Y9" s="95" t="s">
        <v>228</v>
      </c>
      <c r="Z9" s="91" t="s">
        <v>229</v>
      </c>
      <c r="AA9" s="87"/>
      <c r="AB9" s="87"/>
      <c r="AC9" s="95" t="s">
        <v>230</v>
      </c>
      <c r="AD9" s="95" t="s">
        <v>231</v>
      </c>
      <c r="AE9" s="87" t="b">
        <v>0</v>
      </c>
      <c r="AF9" s="87">
        <v>1</v>
      </c>
      <c r="AG9" s="95" t="s">
        <v>232</v>
      </c>
      <c r="AH9" s="87" t="b">
        <v>0</v>
      </c>
      <c r="AI9" s="87" t="s">
        <v>233</v>
      </c>
      <c r="AJ9" s="87"/>
      <c r="AK9" s="95" t="s">
        <v>234</v>
      </c>
      <c r="AL9" s="87" t="b">
        <v>0</v>
      </c>
      <c r="AM9" s="87">
        <v>0</v>
      </c>
      <c r="AN9" s="95" t="s">
        <v>234</v>
      </c>
      <c r="AO9" s="87" t="s">
        <v>235</v>
      </c>
      <c r="AP9" s="87" t="b">
        <v>0</v>
      </c>
      <c r="AQ9" s="95" t="s">
        <v>231</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214</v>
      </c>
      <c r="B10" s="85" t="s">
        <v>222</v>
      </c>
      <c r="C10" s="53" t="s">
        <v>478</v>
      </c>
      <c r="D10" s="54">
        <v>3</v>
      </c>
      <c r="E10" s="66" t="s">
        <v>132</v>
      </c>
      <c r="F10" s="55">
        <v>32</v>
      </c>
      <c r="G10" s="53"/>
      <c r="H10" s="57"/>
      <c r="I10" s="56"/>
      <c r="J10" s="56"/>
      <c r="K10" s="36" t="s">
        <v>65</v>
      </c>
      <c r="L10" s="84">
        <v>10</v>
      </c>
      <c r="M10" s="84"/>
      <c r="N10" s="63"/>
      <c r="O10" s="87" t="s">
        <v>224</v>
      </c>
      <c r="P10" s="89">
        <v>43785.55202546297</v>
      </c>
      <c r="Q10" s="87" t="s">
        <v>225</v>
      </c>
      <c r="R10" s="87"/>
      <c r="S10" s="87"/>
      <c r="T10" s="87" t="s">
        <v>226</v>
      </c>
      <c r="U10" s="87"/>
      <c r="V10" s="91" t="s">
        <v>227</v>
      </c>
      <c r="W10" s="89">
        <v>43785.55202546297</v>
      </c>
      <c r="X10" s="93">
        <v>43785</v>
      </c>
      <c r="Y10" s="95" t="s">
        <v>228</v>
      </c>
      <c r="Z10" s="91" t="s">
        <v>229</v>
      </c>
      <c r="AA10" s="87"/>
      <c r="AB10" s="87"/>
      <c r="AC10" s="95" t="s">
        <v>230</v>
      </c>
      <c r="AD10" s="95" t="s">
        <v>231</v>
      </c>
      <c r="AE10" s="87" t="b">
        <v>0</v>
      </c>
      <c r="AF10" s="87">
        <v>1</v>
      </c>
      <c r="AG10" s="95" t="s">
        <v>232</v>
      </c>
      <c r="AH10" s="87" t="b">
        <v>0</v>
      </c>
      <c r="AI10" s="87" t="s">
        <v>233</v>
      </c>
      <c r="AJ10" s="87"/>
      <c r="AK10" s="95" t="s">
        <v>234</v>
      </c>
      <c r="AL10" s="87" t="b">
        <v>0</v>
      </c>
      <c r="AM10" s="87">
        <v>0</v>
      </c>
      <c r="AN10" s="95" t="s">
        <v>234</v>
      </c>
      <c r="AO10" s="87" t="s">
        <v>235</v>
      </c>
      <c r="AP10" s="87" t="b">
        <v>0</v>
      </c>
      <c r="AQ10" s="95" t="s">
        <v>231</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2</v>
      </c>
      <c r="BG10" s="52">
        <v>6.25</v>
      </c>
      <c r="BH10" s="51">
        <v>0</v>
      </c>
      <c r="BI10" s="52">
        <v>0</v>
      </c>
      <c r="BJ10" s="51">
        <v>0</v>
      </c>
      <c r="BK10" s="52">
        <v>0</v>
      </c>
      <c r="BL10" s="51">
        <v>30</v>
      </c>
      <c r="BM10" s="52">
        <v>93.75</v>
      </c>
      <c r="BN10" s="51">
        <v>32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V3" r:id="rId1" display="http://pbs.twimg.com/profile_images/1131474948713791488/nry1aFRS_normal.jpg"/>
    <hyperlink ref="V4" r:id="rId2" display="http://pbs.twimg.com/profile_images/1131474948713791488/nry1aFRS_normal.jpg"/>
    <hyperlink ref="V5" r:id="rId3" display="http://pbs.twimg.com/profile_images/1131474948713791488/nry1aFRS_normal.jpg"/>
    <hyperlink ref="V6" r:id="rId4" display="http://pbs.twimg.com/profile_images/1131474948713791488/nry1aFRS_normal.jpg"/>
    <hyperlink ref="V7" r:id="rId5" display="http://pbs.twimg.com/profile_images/1131474948713791488/nry1aFRS_normal.jpg"/>
    <hyperlink ref="V8" r:id="rId6" display="http://pbs.twimg.com/profile_images/1131474948713791488/nry1aFRS_normal.jpg"/>
    <hyperlink ref="V9" r:id="rId7" display="http://pbs.twimg.com/profile_images/1131474948713791488/nry1aFRS_normal.jpg"/>
    <hyperlink ref="V10" r:id="rId8" display="http://pbs.twimg.com/profile_images/1131474948713791488/nry1aFRS_normal.jpg"/>
    <hyperlink ref="Z3" r:id="rId9" display="https://twitter.com/dariusphilipp/status/1195691718777155584"/>
    <hyperlink ref="Z4" r:id="rId10" display="https://twitter.com/dariusphilipp/status/1195691718777155584"/>
    <hyperlink ref="Z5" r:id="rId11" display="https://twitter.com/dariusphilipp/status/1195691718777155584"/>
    <hyperlink ref="Z6" r:id="rId12" display="https://twitter.com/dariusphilipp/status/1195691718777155584"/>
    <hyperlink ref="Z7" r:id="rId13" display="https://twitter.com/dariusphilipp/status/1195691718777155584"/>
    <hyperlink ref="Z8" r:id="rId14" display="https://twitter.com/dariusphilipp/status/1195691718777155584"/>
    <hyperlink ref="Z9" r:id="rId15" display="https://twitter.com/dariusphilipp/status/1195691718777155584"/>
    <hyperlink ref="Z10" r:id="rId16" display="https://twitter.com/dariusphilipp/status/1195691718777155584"/>
  </hyperlinks>
  <printOptions/>
  <pageMargins left="0.7" right="0.7" top="0.75" bottom="0.75" header="0.3" footer="0.3"/>
  <pageSetup horizontalDpi="600" verticalDpi="600" orientation="portrait" r:id="rId20"/>
  <legacyDrawing r:id="rId18"/>
  <tableParts>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6" t="s">
        <v>425</v>
      </c>
      <c r="B1" s="86" t="s">
        <v>426</v>
      </c>
      <c r="C1" s="86" t="s">
        <v>419</v>
      </c>
      <c r="D1" s="86" t="s">
        <v>420</v>
      </c>
      <c r="E1" s="86" t="s">
        <v>427</v>
      </c>
      <c r="F1" s="86" t="s">
        <v>144</v>
      </c>
      <c r="G1" s="86" t="s">
        <v>428</v>
      </c>
      <c r="H1" s="86" t="s">
        <v>429</v>
      </c>
      <c r="I1" s="86" t="s">
        <v>430</v>
      </c>
      <c r="J1" s="86" t="s">
        <v>431</v>
      </c>
      <c r="K1" s="86" t="s">
        <v>432</v>
      </c>
      <c r="L1" s="86" t="s">
        <v>433</v>
      </c>
    </row>
    <row r="2" spans="1:12" ht="15">
      <c r="A2" s="86"/>
      <c r="B2" s="86"/>
      <c r="C2" s="86"/>
      <c r="D2" s="124"/>
      <c r="E2" s="124"/>
      <c r="F2" s="86"/>
      <c r="G2" s="86"/>
      <c r="H2" s="86"/>
      <c r="I2" s="86"/>
      <c r="J2" s="86"/>
      <c r="K2" s="86"/>
      <c r="L2" s="8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445</v>
      </c>
      <c r="B2" s="128" t="s">
        <v>446</v>
      </c>
      <c r="C2" s="68" t="s">
        <v>447</v>
      </c>
    </row>
    <row r="3" spans="1:3" ht="15">
      <c r="A3" s="127" t="s">
        <v>367</v>
      </c>
      <c r="B3" s="127" t="s">
        <v>367</v>
      </c>
      <c r="C3" s="36">
        <v>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465</v>
      </c>
      <c r="B1" s="13" t="s">
        <v>17</v>
      </c>
    </row>
    <row r="2" spans="1:2" ht="15">
      <c r="A2" s="86" t="s">
        <v>466</v>
      </c>
      <c r="B2" s="86" t="s">
        <v>472</v>
      </c>
    </row>
    <row r="3" spans="1:2" ht="15">
      <c r="A3" s="86" t="s">
        <v>467</v>
      </c>
      <c r="B3" s="86" t="s">
        <v>473</v>
      </c>
    </row>
    <row r="4" spans="1:2" ht="15">
      <c r="A4" s="86" t="s">
        <v>468</v>
      </c>
      <c r="B4" s="86" t="s">
        <v>474</v>
      </c>
    </row>
    <row r="5" spans="1:2" ht="15">
      <c r="A5" s="86" t="s">
        <v>469</v>
      </c>
      <c r="B5" s="86" t="s">
        <v>475</v>
      </c>
    </row>
    <row r="6" spans="1:2" ht="15">
      <c r="A6" s="86" t="s">
        <v>470</v>
      </c>
      <c r="B6" s="86" t="s">
        <v>476</v>
      </c>
    </row>
    <row r="7" spans="1:2" ht="15">
      <c r="A7" s="86" t="s">
        <v>471</v>
      </c>
      <c r="B7" s="86" t="s">
        <v>473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477</v>
      </c>
      <c r="B1" s="13" t="s">
        <v>34</v>
      </c>
    </row>
    <row r="2" spans="1:2" ht="15">
      <c r="A2" s="120" t="s">
        <v>214</v>
      </c>
      <c r="B2" s="86">
        <v>56</v>
      </c>
    </row>
    <row r="3" spans="1:2" ht="15">
      <c r="A3" s="120" t="s">
        <v>220</v>
      </c>
      <c r="B3" s="86">
        <v>0</v>
      </c>
    </row>
    <row r="4" spans="1:2" ht="15">
      <c r="A4" s="120" t="s">
        <v>219</v>
      </c>
      <c r="B4" s="86">
        <v>0</v>
      </c>
    </row>
    <row r="5" spans="1:2" ht="15">
      <c r="A5" s="120" t="s">
        <v>222</v>
      </c>
      <c r="B5" s="86">
        <v>0</v>
      </c>
    </row>
    <row r="6" spans="1:2" ht="15">
      <c r="A6" s="120" t="s">
        <v>221</v>
      </c>
      <c r="B6" s="86">
        <v>0</v>
      </c>
    </row>
    <row r="7" spans="1:2" ht="15">
      <c r="A7" s="120" t="s">
        <v>216</v>
      </c>
      <c r="B7" s="86">
        <v>0</v>
      </c>
    </row>
    <row r="8" spans="1:2" ht="15">
      <c r="A8" s="120" t="s">
        <v>215</v>
      </c>
      <c r="B8" s="86">
        <v>0</v>
      </c>
    </row>
    <row r="9" spans="1:2" ht="15">
      <c r="A9" s="120" t="s">
        <v>218</v>
      </c>
      <c r="B9" s="86">
        <v>0</v>
      </c>
    </row>
    <row r="10" spans="1:2" ht="15">
      <c r="A10" s="120" t="s">
        <v>217</v>
      </c>
      <c r="B10"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482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194</v>
      </c>
      <c r="AU2" s="13" t="s">
        <v>251</v>
      </c>
      <c r="AV2" s="13" t="s">
        <v>252</v>
      </c>
      <c r="AW2" s="13" t="s">
        <v>253</v>
      </c>
      <c r="AX2" s="13" t="s">
        <v>254</v>
      </c>
      <c r="AY2" s="13" t="s">
        <v>255</v>
      </c>
      <c r="AZ2" s="13" t="s">
        <v>256</v>
      </c>
      <c r="BA2" s="13" t="s">
        <v>369</v>
      </c>
      <c r="BB2" s="122" t="s">
        <v>406</v>
      </c>
      <c r="BC2" s="122" t="s">
        <v>407</v>
      </c>
      <c r="BD2" s="122" t="s">
        <v>408</v>
      </c>
      <c r="BE2" s="122" t="s">
        <v>409</v>
      </c>
      <c r="BF2" s="122" t="s">
        <v>410</v>
      </c>
      <c r="BG2" s="122" t="s">
        <v>411</v>
      </c>
      <c r="BH2" s="122" t="s">
        <v>412</v>
      </c>
      <c r="BI2" s="122" t="s">
        <v>414</v>
      </c>
      <c r="BJ2" s="122" t="s">
        <v>415</v>
      </c>
      <c r="BK2" s="122" t="s">
        <v>417</v>
      </c>
      <c r="BL2" s="122" t="s">
        <v>434</v>
      </c>
      <c r="BM2" s="122" t="s">
        <v>435</v>
      </c>
      <c r="BN2" s="122" t="s">
        <v>436</v>
      </c>
      <c r="BO2" s="122" t="s">
        <v>437</v>
      </c>
      <c r="BP2" s="122" t="s">
        <v>438</v>
      </c>
      <c r="BQ2" s="122" t="s">
        <v>439</v>
      </c>
      <c r="BR2" s="122" t="s">
        <v>440</v>
      </c>
      <c r="BS2" s="122" t="s">
        <v>441</v>
      </c>
      <c r="BT2" s="122" t="s">
        <v>443</v>
      </c>
      <c r="BU2" s="3"/>
      <c r="BV2" s="3"/>
    </row>
    <row r="3" spans="1:74" ht="41.45" customHeight="1">
      <c r="A3" s="50" t="s">
        <v>214</v>
      </c>
      <c r="C3" s="53"/>
      <c r="D3" s="53" t="s">
        <v>64</v>
      </c>
      <c r="E3" s="54">
        <v>163.808261405672</v>
      </c>
      <c r="F3" s="55">
        <v>99.96445798425997</v>
      </c>
      <c r="G3" s="115" t="s">
        <v>227</v>
      </c>
      <c r="H3" s="53"/>
      <c r="I3" s="57" t="s">
        <v>214</v>
      </c>
      <c r="J3" s="56"/>
      <c r="K3" s="56"/>
      <c r="L3" s="117" t="s">
        <v>319</v>
      </c>
      <c r="M3" s="59">
        <v>12.844969112295844</v>
      </c>
      <c r="N3" s="60">
        <v>4999.49951171875</v>
      </c>
      <c r="O3" s="60">
        <v>4999.5009765625</v>
      </c>
      <c r="P3" s="58"/>
      <c r="Q3" s="61"/>
      <c r="R3" s="61"/>
      <c r="S3" s="51"/>
      <c r="T3" s="51">
        <v>0</v>
      </c>
      <c r="U3" s="51">
        <v>8</v>
      </c>
      <c r="V3" s="52">
        <v>56</v>
      </c>
      <c r="W3" s="52">
        <v>0.125</v>
      </c>
      <c r="X3" s="52">
        <v>0.111111</v>
      </c>
      <c r="Y3" s="52">
        <v>4.215949</v>
      </c>
      <c r="Z3" s="52">
        <v>0</v>
      </c>
      <c r="AA3" s="52">
        <v>0</v>
      </c>
      <c r="AB3" s="62">
        <v>3</v>
      </c>
      <c r="AC3" s="62"/>
      <c r="AD3" s="63"/>
      <c r="AE3" s="86" t="s">
        <v>257</v>
      </c>
      <c r="AF3" s="86">
        <v>452</v>
      </c>
      <c r="AG3" s="86">
        <v>77</v>
      </c>
      <c r="AH3" s="86">
        <v>93</v>
      </c>
      <c r="AI3" s="86">
        <v>257</v>
      </c>
      <c r="AJ3" s="86"/>
      <c r="AK3" s="86" t="s">
        <v>266</v>
      </c>
      <c r="AL3" s="86" t="s">
        <v>275</v>
      </c>
      <c r="AM3" s="86"/>
      <c r="AN3" s="86"/>
      <c r="AO3" s="88">
        <v>43244.59583333333</v>
      </c>
      <c r="AP3" s="90" t="s">
        <v>288</v>
      </c>
      <c r="AQ3" s="86" t="b">
        <v>0</v>
      </c>
      <c r="AR3" s="86" t="b">
        <v>0</v>
      </c>
      <c r="AS3" s="86" t="b">
        <v>1</v>
      </c>
      <c r="AT3" s="86"/>
      <c r="AU3" s="86">
        <v>0</v>
      </c>
      <c r="AV3" s="90" t="s">
        <v>296</v>
      </c>
      <c r="AW3" s="86" t="b">
        <v>0</v>
      </c>
      <c r="AX3" s="86" t="s">
        <v>309</v>
      </c>
      <c r="AY3" s="90" t="s">
        <v>310</v>
      </c>
      <c r="AZ3" s="86" t="s">
        <v>66</v>
      </c>
      <c r="BA3" s="86" t="str">
        <f>REPLACE(INDEX(GroupVertices[Group],MATCH(Vertices[[#This Row],[Vertex]],GroupVertices[Vertex],0)),1,1,"")</f>
        <v>1</v>
      </c>
      <c r="BB3" s="51"/>
      <c r="BC3" s="51"/>
      <c r="BD3" s="51"/>
      <c r="BE3" s="51"/>
      <c r="BF3" s="51" t="s">
        <v>226</v>
      </c>
      <c r="BG3" s="51" t="s">
        <v>226</v>
      </c>
      <c r="BH3" s="123" t="s">
        <v>413</v>
      </c>
      <c r="BI3" s="123" t="s">
        <v>413</v>
      </c>
      <c r="BJ3" s="123" t="s">
        <v>416</v>
      </c>
      <c r="BK3" s="123" t="s">
        <v>416</v>
      </c>
      <c r="BL3" s="123">
        <v>2</v>
      </c>
      <c r="BM3" s="126">
        <v>6.25</v>
      </c>
      <c r="BN3" s="123">
        <v>0</v>
      </c>
      <c r="BO3" s="126">
        <v>0</v>
      </c>
      <c r="BP3" s="123">
        <v>0</v>
      </c>
      <c r="BQ3" s="126">
        <v>0</v>
      </c>
      <c r="BR3" s="123">
        <v>30</v>
      </c>
      <c r="BS3" s="126">
        <v>93.75</v>
      </c>
      <c r="BT3" s="123">
        <v>32</v>
      </c>
      <c r="BU3" s="3"/>
      <c r="BV3" s="3"/>
    </row>
    <row r="4" spans="1:77" ht="41.45" customHeight="1">
      <c r="A4" s="14" t="s">
        <v>215</v>
      </c>
      <c r="C4" s="15"/>
      <c r="D4" s="15" t="s">
        <v>64</v>
      </c>
      <c r="E4" s="96">
        <v>554.134401972873</v>
      </c>
      <c r="F4" s="82">
        <v>92.2924600152323</v>
      </c>
      <c r="G4" s="115" t="s">
        <v>301</v>
      </c>
      <c r="H4" s="15"/>
      <c r="I4" s="16" t="s">
        <v>215</v>
      </c>
      <c r="J4" s="67"/>
      <c r="K4" s="67"/>
      <c r="L4" s="117" t="s">
        <v>320</v>
      </c>
      <c r="M4" s="97">
        <v>2569.6661589235846</v>
      </c>
      <c r="N4" s="98">
        <v>2787.712158203125</v>
      </c>
      <c r="O4" s="98">
        <v>9134.380859375</v>
      </c>
      <c r="P4" s="78"/>
      <c r="Q4" s="99"/>
      <c r="R4" s="99"/>
      <c r="S4" s="100"/>
      <c r="T4" s="51">
        <v>1</v>
      </c>
      <c r="U4" s="51">
        <v>0</v>
      </c>
      <c r="V4" s="52">
        <v>0</v>
      </c>
      <c r="W4" s="52">
        <v>0.066667</v>
      </c>
      <c r="X4" s="52">
        <v>0.111111</v>
      </c>
      <c r="Y4" s="52">
        <v>0.597938</v>
      </c>
      <c r="Z4" s="52">
        <v>0</v>
      </c>
      <c r="AA4" s="52">
        <v>0</v>
      </c>
      <c r="AB4" s="83">
        <v>4</v>
      </c>
      <c r="AC4" s="83"/>
      <c r="AD4" s="101"/>
      <c r="AE4" s="86" t="s">
        <v>258</v>
      </c>
      <c r="AF4" s="86">
        <v>364</v>
      </c>
      <c r="AG4" s="86">
        <v>3099</v>
      </c>
      <c r="AH4" s="86">
        <v>634</v>
      </c>
      <c r="AI4" s="86">
        <v>1359</v>
      </c>
      <c r="AJ4" s="86"/>
      <c r="AK4" s="86" t="s">
        <v>267</v>
      </c>
      <c r="AL4" s="86" t="s">
        <v>275</v>
      </c>
      <c r="AM4" s="90" t="s">
        <v>280</v>
      </c>
      <c r="AN4" s="86"/>
      <c r="AO4" s="88">
        <v>42992.50508101852</v>
      </c>
      <c r="AP4" s="90" t="s">
        <v>289</v>
      </c>
      <c r="AQ4" s="86" t="b">
        <v>0</v>
      </c>
      <c r="AR4" s="86" t="b">
        <v>0</v>
      </c>
      <c r="AS4" s="86" t="b">
        <v>1</v>
      </c>
      <c r="AT4" s="86"/>
      <c r="AU4" s="86">
        <v>48</v>
      </c>
      <c r="AV4" s="90" t="s">
        <v>296</v>
      </c>
      <c r="AW4" s="86" t="b">
        <v>0</v>
      </c>
      <c r="AX4" s="86" t="s">
        <v>309</v>
      </c>
      <c r="AY4" s="90" t="s">
        <v>311</v>
      </c>
      <c r="AZ4" s="86" t="s">
        <v>65</v>
      </c>
      <c r="BA4" s="86" t="str">
        <f>REPLACE(INDEX(GroupVertices[Group],MATCH(Vertices[[#This Row],[Vertex]],GroupVertices[Vertex],0)),1,1,"")</f>
        <v>1</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216</v>
      </c>
      <c r="C5" s="15"/>
      <c r="D5" s="15" t="s">
        <v>64</v>
      </c>
      <c r="E5" s="96">
        <v>162</v>
      </c>
      <c r="F5" s="82">
        <v>100</v>
      </c>
      <c r="G5" s="115" t="s">
        <v>302</v>
      </c>
      <c r="H5" s="15"/>
      <c r="I5" s="16" t="s">
        <v>216</v>
      </c>
      <c r="J5" s="67"/>
      <c r="K5" s="67"/>
      <c r="L5" s="117" t="s">
        <v>321</v>
      </c>
      <c r="M5" s="97">
        <v>1</v>
      </c>
      <c r="N5" s="98">
        <v>9696.88671875</v>
      </c>
      <c r="O5" s="98">
        <v>3377.981689453125</v>
      </c>
      <c r="P5" s="78"/>
      <c r="Q5" s="99"/>
      <c r="R5" s="99"/>
      <c r="S5" s="100"/>
      <c r="T5" s="51">
        <v>1</v>
      </c>
      <c r="U5" s="51">
        <v>0</v>
      </c>
      <c r="V5" s="52">
        <v>0</v>
      </c>
      <c r="W5" s="52">
        <v>0.066667</v>
      </c>
      <c r="X5" s="52">
        <v>0.111111</v>
      </c>
      <c r="Y5" s="52">
        <v>0.597938</v>
      </c>
      <c r="Z5" s="52">
        <v>0</v>
      </c>
      <c r="AA5" s="52">
        <v>0</v>
      </c>
      <c r="AB5" s="83">
        <v>5</v>
      </c>
      <c r="AC5" s="83"/>
      <c r="AD5" s="101"/>
      <c r="AE5" s="86" t="s">
        <v>259</v>
      </c>
      <c r="AF5" s="86">
        <v>56</v>
      </c>
      <c r="AG5" s="86">
        <v>63</v>
      </c>
      <c r="AH5" s="86">
        <v>17</v>
      </c>
      <c r="AI5" s="86">
        <v>27</v>
      </c>
      <c r="AJ5" s="86"/>
      <c r="AK5" s="86" t="s">
        <v>268</v>
      </c>
      <c r="AL5" s="86"/>
      <c r="AM5" s="90" t="s">
        <v>281</v>
      </c>
      <c r="AN5" s="86"/>
      <c r="AO5" s="88">
        <v>39168.26733796296</v>
      </c>
      <c r="AP5" s="86"/>
      <c r="AQ5" s="86" t="b">
        <v>0</v>
      </c>
      <c r="AR5" s="86" t="b">
        <v>0</v>
      </c>
      <c r="AS5" s="86" t="b">
        <v>0</v>
      </c>
      <c r="AT5" s="86"/>
      <c r="AU5" s="86">
        <v>3</v>
      </c>
      <c r="AV5" s="90" t="s">
        <v>296</v>
      </c>
      <c r="AW5" s="86" t="b">
        <v>0</v>
      </c>
      <c r="AX5" s="86" t="s">
        <v>309</v>
      </c>
      <c r="AY5" s="90" t="s">
        <v>312</v>
      </c>
      <c r="AZ5" s="86" t="s">
        <v>65</v>
      </c>
      <c r="BA5" s="86"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217</v>
      </c>
      <c r="C6" s="15"/>
      <c r="D6" s="15" t="s">
        <v>64</v>
      </c>
      <c r="E6" s="96">
        <v>363.87946979038225</v>
      </c>
      <c r="F6" s="82">
        <v>96.03198781416603</v>
      </c>
      <c r="G6" s="115" t="s">
        <v>303</v>
      </c>
      <c r="H6" s="15"/>
      <c r="I6" s="16" t="s">
        <v>217</v>
      </c>
      <c r="J6" s="67"/>
      <c r="K6" s="67"/>
      <c r="L6" s="117" t="s">
        <v>322</v>
      </c>
      <c r="M6" s="97">
        <v>1323.4061944656005</v>
      </c>
      <c r="N6" s="98">
        <v>406.0672607421875</v>
      </c>
      <c r="O6" s="98">
        <v>6621.017578125</v>
      </c>
      <c r="P6" s="78"/>
      <c r="Q6" s="99"/>
      <c r="R6" s="99"/>
      <c r="S6" s="100"/>
      <c r="T6" s="51">
        <v>1</v>
      </c>
      <c r="U6" s="51">
        <v>0</v>
      </c>
      <c r="V6" s="52">
        <v>0</v>
      </c>
      <c r="W6" s="52">
        <v>0.066667</v>
      </c>
      <c r="X6" s="52">
        <v>0.111111</v>
      </c>
      <c r="Y6" s="52">
        <v>0.597938</v>
      </c>
      <c r="Z6" s="52">
        <v>0</v>
      </c>
      <c r="AA6" s="52">
        <v>0</v>
      </c>
      <c r="AB6" s="83">
        <v>6</v>
      </c>
      <c r="AC6" s="83"/>
      <c r="AD6" s="101"/>
      <c r="AE6" s="86" t="s">
        <v>260</v>
      </c>
      <c r="AF6" s="86">
        <v>783</v>
      </c>
      <c r="AG6" s="86">
        <v>1626</v>
      </c>
      <c r="AH6" s="86">
        <v>13550</v>
      </c>
      <c r="AI6" s="86">
        <v>16378</v>
      </c>
      <c r="AJ6" s="86"/>
      <c r="AK6" s="86" t="s">
        <v>269</v>
      </c>
      <c r="AL6" s="86" t="s">
        <v>276</v>
      </c>
      <c r="AM6" s="90" t="s">
        <v>282</v>
      </c>
      <c r="AN6" s="86"/>
      <c r="AO6" s="88">
        <v>39886.47116898148</v>
      </c>
      <c r="AP6" s="90" t="s">
        <v>290</v>
      </c>
      <c r="AQ6" s="86" t="b">
        <v>0</v>
      </c>
      <c r="AR6" s="86" t="b">
        <v>0</v>
      </c>
      <c r="AS6" s="86" t="b">
        <v>1</v>
      </c>
      <c r="AT6" s="86"/>
      <c r="AU6" s="86">
        <v>61</v>
      </c>
      <c r="AV6" s="90" t="s">
        <v>297</v>
      </c>
      <c r="AW6" s="86" t="b">
        <v>0</v>
      </c>
      <c r="AX6" s="86" t="s">
        <v>309</v>
      </c>
      <c r="AY6" s="90" t="s">
        <v>313</v>
      </c>
      <c r="AZ6" s="86" t="s">
        <v>65</v>
      </c>
      <c r="BA6" s="86" t="str">
        <f>REPLACE(INDEX(GroupVertices[Group],MATCH(Vertices[[#This Row],[Vertex]],GroupVertices[Vertex],0)),1,1,"")</f>
        <v>1</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218</v>
      </c>
      <c r="C7" s="15"/>
      <c r="D7" s="15" t="s">
        <v>64</v>
      </c>
      <c r="E7" s="96">
        <v>187.961467324291</v>
      </c>
      <c r="F7" s="82">
        <v>99.48971820258949</v>
      </c>
      <c r="G7" s="115" t="s">
        <v>304</v>
      </c>
      <c r="H7" s="15"/>
      <c r="I7" s="16" t="s">
        <v>218</v>
      </c>
      <c r="J7" s="67"/>
      <c r="K7" s="67"/>
      <c r="L7" s="117" t="s">
        <v>323</v>
      </c>
      <c r="M7" s="97">
        <v>171.05991368367606</v>
      </c>
      <c r="N7" s="98">
        <v>6676.14892578125</v>
      </c>
      <c r="O7" s="98">
        <v>9422.5869140625</v>
      </c>
      <c r="P7" s="78"/>
      <c r="Q7" s="99"/>
      <c r="R7" s="99"/>
      <c r="S7" s="100"/>
      <c r="T7" s="51">
        <v>1</v>
      </c>
      <c r="U7" s="51">
        <v>0</v>
      </c>
      <c r="V7" s="52">
        <v>0</v>
      </c>
      <c r="W7" s="52">
        <v>0.066667</v>
      </c>
      <c r="X7" s="52">
        <v>0.111111</v>
      </c>
      <c r="Y7" s="52">
        <v>0.597938</v>
      </c>
      <c r="Z7" s="52">
        <v>0</v>
      </c>
      <c r="AA7" s="52">
        <v>0</v>
      </c>
      <c r="AB7" s="83">
        <v>7</v>
      </c>
      <c r="AC7" s="83"/>
      <c r="AD7" s="101"/>
      <c r="AE7" s="86" t="s">
        <v>261</v>
      </c>
      <c r="AF7" s="86">
        <v>158</v>
      </c>
      <c r="AG7" s="86">
        <v>264</v>
      </c>
      <c r="AH7" s="86">
        <v>210</v>
      </c>
      <c r="AI7" s="86">
        <v>348</v>
      </c>
      <c r="AJ7" s="86"/>
      <c r="AK7" s="86" t="s">
        <v>270</v>
      </c>
      <c r="AL7" s="86" t="s">
        <v>277</v>
      </c>
      <c r="AM7" s="90" t="s">
        <v>283</v>
      </c>
      <c r="AN7" s="86"/>
      <c r="AO7" s="88">
        <v>43290.64189814815</v>
      </c>
      <c r="AP7" s="90" t="s">
        <v>291</v>
      </c>
      <c r="AQ7" s="86" t="b">
        <v>1</v>
      </c>
      <c r="AR7" s="86" t="b">
        <v>0</v>
      </c>
      <c r="AS7" s="86" t="b">
        <v>1</v>
      </c>
      <c r="AT7" s="86"/>
      <c r="AU7" s="86">
        <v>3</v>
      </c>
      <c r="AV7" s="86"/>
      <c r="AW7" s="86" t="b">
        <v>0</v>
      </c>
      <c r="AX7" s="86" t="s">
        <v>309</v>
      </c>
      <c r="AY7" s="90" t="s">
        <v>314</v>
      </c>
      <c r="AZ7" s="86" t="s">
        <v>65</v>
      </c>
      <c r="BA7" s="86" t="str">
        <f>REPLACE(INDEX(GroupVertices[Group],MATCH(Vertices[[#This Row],[Vertex]],GroupVertices[Vertex],0)),1,1,"")</f>
        <v>1</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219</v>
      </c>
      <c r="C8" s="15"/>
      <c r="D8" s="15" t="s">
        <v>64</v>
      </c>
      <c r="E8" s="96">
        <v>380.6704685573366</v>
      </c>
      <c r="F8" s="82">
        <v>95.7019548108657</v>
      </c>
      <c r="G8" s="115" t="s">
        <v>305</v>
      </c>
      <c r="H8" s="15"/>
      <c r="I8" s="16" t="s">
        <v>219</v>
      </c>
      <c r="J8" s="67"/>
      <c r="K8" s="67"/>
      <c r="L8" s="117" t="s">
        <v>324</v>
      </c>
      <c r="M8" s="97">
        <v>1433.3951933654903</v>
      </c>
      <c r="N8" s="98">
        <v>9582.435546875</v>
      </c>
      <c r="O8" s="98">
        <v>7138.55712890625</v>
      </c>
      <c r="P8" s="78"/>
      <c r="Q8" s="99"/>
      <c r="R8" s="99"/>
      <c r="S8" s="100"/>
      <c r="T8" s="51">
        <v>1</v>
      </c>
      <c r="U8" s="51">
        <v>0</v>
      </c>
      <c r="V8" s="52">
        <v>0</v>
      </c>
      <c r="W8" s="52">
        <v>0.066667</v>
      </c>
      <c r="X8" s="52">
        <v>0.111111</v>
      </c>
      <c r="Y8" s="52">
        <v>0.597938</v>
      </c>
      <c r="Z8" s="52">
        <v>0</v>
      </c>
      <c r="AA8" s="52">
        <v>0</v>
      </c>
      <c r="AB8" s="83">
        <v>8</v>
      </c>
      <c r="AC8" s="83"/>
      <c r="AD8" s="101"/>
      <c r="AE8" s="86" t="s">
        <v>262</v>
      </c>
      <c r="AF8" s="86">
        <v>1351</v>
      </c>
      <c r="AG8" s="86">
        <v>1756</v>
      </c>
      <c r="AH8" s="86">
        <v>2055</v>
      </c>
      <c r="AI8" s="86">
        <v>26249</v>
      </c>
      <c r="AJ8" s="86"/>
      <c r="AK8" s="86" t="s">
        <v>271</v>
      </c>
      <c r="AL8" s="86" t="s">
        <v>278</v>
      </c>
      <c r="AM8" s="90" t="s">
        <v>284</v>
      </c>
      <c r="AN8" s="86"/>
      <c r="AO8" s="88">
        <v>40333.691087962965</v>
      </c>
      <c r="AP8" s="90" t="s">
        <v>292</v>
      </c>
      <c r="AQ8" s="86" t="b">
        <v>1</v>
      </c>
      <c r="AR8" s="86" t="b">
        <v>0</v>
      </c>
      <c r="AS8" s="86" t="b">
        <v>0</v>
      </c>
      <c r="AT8" s="86"/>
      <c r="AU8" s="86">
        <v>204</v>
      </c>
      <c r="AV8" s="90" t="s">
        <v>296</v>
      </c>
      <c r="AW8" s="86" t="b">
        <v>0</v>
      </c>
      <c r="AX8" s="86" t="s">
        <v>309</v>
      </c>
      <c r="AY8" s="90" t="s">
        <v>315</v>
      </c>
      <c r="AZ8" s="86" t="s">
        <v>65</v>
      </c>
      <c r="BA8" s="86"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220</v>
      </c>
      <c r="C9" s="15"/>
      <c r="D9" s="15" t="s">
        <v>64</v>
      </c>
      <c r="E9" s="96">
        <v>1000</v>
      </c>
      <c r="F9" s="82">
        <v>83.52881441990353</v>
      </c>
      <c r="G9" s="115" t="s">
        <v>306</v>
      </c>
      <c r="H9" s="15"/>
      <c r="I9" s="16" t="s">
        <v>220</v>
      </c>
      <c r="J9" s="67"/>
      <c r="K9" s="67"/>
      <c r="L9" s="117" t="s">
        <v>325</v>
      </c>
      <c r="M9" s="97">
        <v>5490.297114326817</v>
      </c>
      <c r="N9" s="98">
        <v>7211.2841796875</v>
      </c>
      <c r="O9" s="98">
        <v>1105.771728515625</v>
      </c>
      <c r="P9" s="78"/>
      <c r="Q9" s="99"/>
      <c r="R9" s="99"/>
      <c r="S9" s="100"/>
      <c r="T9" s="51">
        <v>1</v>
      </c>
      <c r="U9" s="51">
        <v>0</v>
      </c>
      <c r="V9" s="52">
        <v>0</v>
      </c>
      <c r="W9" s="52">
        <v>0.066667</v>
      </c>
      <c r="X9" s="52">
        <v>0.111111</v>
      </c>
      <c r="Y9" s="52">
        <v>0.597938</v>
      </c>
      <c r="Z9" s="52">
        <v>0</v>
      </c>
      <c r="AA9" s="52">
        <v>0</v>
      </c>
      <c r="AB9" s="83">
        <v>9</v>
      </c>
      <c r="AC9" s="83"/>
      <c r="AD9" s="101"/>
      <c r="AE9" s="86" t="s">
        <v>263</v>
      </c>
      <c r="AF9" s="86">
        <v>1157</v>
      </c>
      <c r="AG9" s="86">
        <v>6551</v>
      </c>
      <c r="AH9" s="86">
        <v>10092</v>
      </c>
      <c r="AI9" s="86">
        <v>4948</v>
      </c>
      <c r="AJ9" s="86"/>
      <c r="AK9" s="86" t="s">
        <v>272</v>
      </c>
      <c r="AL9" s="86" t="s">
        <v>276</v>
      </c>
      <c r="AM9" s="90" t="s">
        <v>285</v>
      </c>
      <c r="AN9" s="86"/>
      <c r="AO9" s="88">
        <v>40736.662523148145</v>
      </c>
      <c r="AP9" s="90" t="s">
        <v>293</v>
      </c>
      <c r="AQ9" s="86" t="b">
        <v>0</v>
      </c>
      <c r="AR9" s="86" t="b">
        <v>0</v>
      </c>
      <c r="AS9" s="86" t="b">
        <v>1</v>
      </c>
      <c r="AT9" s="86"/>
      <c r="AU9" s="86">
        <v>455</v>
      </c>
      <c r="AV9" s="90" t="s">
        <v>298</v>
      </c>
      <c r="AW9" s="86" t="b">
        <v>0</v>
      </c>
      <c r="AX9" s="86" t="s">
        <v>309</v>
      </c>
      <c r="AY9" s="90" t="s">
        <v>316</v>
      </c>
      <c r="AZ9" s="86" t="s">
        <v>65</v>
      </c>
      <c r="BA9" s="86"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221</v>
      </c>
      <c r="C10" s="15"/>
      <c r="D10" s="15" t="s">
        <v>64</v>
      </c>
      <c r="E10" s="96">
        <v>1000</v>
      </c>
      <c r="F10" s="82">
        <v>70</v>
      </c>
      <c r="G10" s="115" t="s">
        <v>307</v>
      </c>
      <c r="H10" s="15"/>
      <c r="I10" s="16" t="s">
        <v>221</v>
      </c>
      <c r="J10" s="67"/>
      <c r="K10" s="67"/>
      <c r="L10" s="117" t="s">
        <v>326</v>
      </c>
      <c r="M10" s="97">
        <v>9999</v>
      </c>
      <c r="N10" s="98">
        <v>610.7251586914062</v>
      </c>
      <c r="O10" s="98">
        <v>2860.4453125</v>
      </c>
      <c r="P10" s="78"/>
      <c r="Q10" s="99"/>
      <c r="R10" s="99"/>
      <c r="S10" s="100"/>
      <c r="T10" s="51">
        <v>1</v>
      </c>
      <c r="U10" s="51">
        <v>0</v>
      </c>
      <c r="V10" s="52">
        <v>0</v>
      </c>
      <c r="W10" s="52">
        <v>0.066667</v>
      </c>
      <c r="X10" s="52">
        <v>0.111111</v>
      </c>
      <c r="Y10" s="52">
        <v>0.597938</v>
      </c>
      <c r="Z10" s="52">
        <v>0</v>
      </c>
      <c r="AA10" s="52">
        <v>0</v>
      </c>
      <c r="AB10" s="83">
        <v>10</v>
      </c>
      <c r="AC10" s="83"/>
      <c r="AD10" s="101"/>
      <c r="AE10" s="86" t="s">
        <v>264</v>
      </c>
      <c r="AF10" s="86">
        <v>6775</v>
      </c>
      <c r="AG10" s="86">
        <v>11880</v>
      </c>
      <c r="AH10" s="86">
        <v>12501</v>
      </c>
      <c r="AI10" s="86">
        <v>45643</v>
      </c>
      <c r="AJ10" s="86"/>
      <c r="AK10" s="86" t="s">
        <v>273</v>
      </c>
      <c r="AL10" s="86" t="s">
        <v>279</v>
      </c>
      <c r="AM10" s="90" t="s">
        <v>286</v>
      </c>
      <c r="AN10" s="86"/>
      <c r="AO10" s="88">
        <v>39459.80023148148</v>
      </c>
      <c r="AP10" s="90" t="s">
        <v>294</v>
      </c>
      <c r="AQ10" s="86" t="b">
        <v>0</v>
      </c>
      <c r="AR10" s="86" t="b">
        <v>0</v>
      </c>
      <c r="AS10" s="86" t="b">
        <v>1</v>
      </c>
      <c r="AT10" s="86"/>
      <c r="AU10" s="86">
        <v>1396</v>
      </c>
      <c r="AV10" s="90" t="s">
        <v>299</v>
      </c>
      <c r="AW10" s="86" t="b">
        <v>1</v>
      </c>
      <c r="AX10" s="86" t="s">
        <v>309</v>
      </c>
      <c r="AY10" s="90" t="s">
        <v>317</v>
      </c>
      <c r="AZ10" s="86" t="s">
        <v>65</v>
      </c>
      <c r="BA10" s="86" t="str">
        <f>REPLACE(INDEX(GroupVertices[Group],MATCH(Vertices[[#This Row],[Vertex]],GroupVertices[Vertex],0)),1,1,"")</f>
        <v>1</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02" t="s">
        <v>222</v>
      </c>
      <c r="C11" s="103"/>
      <c r="D11" s="103" t="s">
        <v>64</v>
      </c>
      <c r="E11" s="104">
        <v>495.88255240443897</v>
      </c>
      <c r="F11" s="105">
        <v>93.43742066514343</v>
      </c>
      <c r="G11" s="116" t="s">
        <v>308</v>
      </c>
      <c r="H11" s="103"/>
      <c r="I11" s="106" t="s">
        <v>222</v>
      </c>
      <c r="J11" s="107"/>
      <c r="K11" s="107"/>
      <c r="L11" s="118" t="s">
        <v>327</v>
      </c>
      <c r="M11" s="108">
        <v>2188.088939663197</v>
      </c>
      <c r="N11" s="109">
        <v>3322.8466796875</v>
      </c>
      <c r="O11" s="109">
        <v>829.3287963867188</v>
      </c>
      <c r="P11" s="110"/>
      <c r="Q11" s="111"/>
      <c r="R11" s="111"/>
      <c r="S11" s="112"/>
      <c r="T11" s="51">
        <v>1</v>
      </c>
      <c r="U11" s="51">
        <v>0</v>
      </c>
      <c r="V11" s="52">
        <v>0</v>
      </c>
      <c r="W11" s="52">
        <v>0.066667</v>
      </c>
      <c r="X11" s="52">
        <v>0.111111</v>
      </c>
      <c r="Y11" s="52">
        <v>0.597938</v>
      </c>
      <c r="Z11" s="52">
        <v>0</v>
      </c>
      <c r="AA11" s="52">
        <v>0</v>
      </c>
      <c r="AB11" s="113">
        <v>11</v>
      </c>
      <c r="AC11" s="113"/>
      <c r="AD11" s="114"/>
      <c r="AE11" s="86" t="s">
        <v>265</v>
      </c>
      <c r="AF11" s="86">
        <v>2517</v>
      </c>
      <c r="AG11" s="86">
        <v>2648</v>
      </c>
      <c r="AH11" s="86">
        <v>14203</v>
      </c>
      <c r="AI11" s="86">
        <v>16468</v>
      </c>
      <c r="AJ11" s="86"/>
      <c r="AK11" s="86" t="s">
        <v>274</v>
      </c>
      <c r="AL11" s="86" t="s">
        <v>277</v>
      </c>
      <c r="AM11" s="90" t="s">
        <v>287</v>
      </c>
      <c r="AN11" s="86"/>
      <c r="AO11" s="88">
        <v>39708.54789351852</v>
      </c>
      <c r="AP11" s="90" t="s">
        <v>295</v>
      </c>
      <c r="AQ11" s="86" t="b">
        <v>0</v>
      </c>
      <c r="AR11" s="86" t="b">
        <v>0</v>
      </c>
      <c r="AS11" s="86" t="b">
        <v>1</v>
      </c>
      <c r="AT11" s="86"/>
      <c r="AU11" s="86">
        <v>142</v>
      </c>
      <c r="AV11" s="90" t="s">
        <v>300</v>
      </c>
      <c r="AW11" s="86" t="b">
        <v>0</v>
      </c>
      <c r="AX11" s="86" t="s">
        <v>309</v>
      </c>
      <c r="AY11" s="90" t="s">
        <v>318</v>
      </c>
      <c r="AZ11" s="86" t="s">
        <v>65</v>
      </c>
      <c r="BA11" s="86" t="str">
        <f>REPLACE(INDEX(GroupVertices[Group],MATCH(Vertices[[#This Row],[Vertex]],GroupVertices[Vertex],0)),1,1,"")</f>
        <v>1</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
    <dataValidation allowBlank="1" showInputMessage="1" promptTitle="Vertex Tooltip" prompt="Enter optional text that will pop up when the mouse is hovered over the vertex." errorTitle="Invalid Vertex Image Key" sqref="L3:L1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
    <dataValidation allowBlank="1" showInputMessage="1" promptTitle="Vertex Label Fill Color" prompt="To select an optional fill color for the Label shape, right-click and select Select Color on the right-click menu." sqref="J3:J11"/>
    <dataValidation allowBlank="1" showInputMessage="1" promptTitle="Vertex Image File" prompt="Enter the path to an image file.  Hover over the column header for examples." errorTitle="Invalid Vertex Image Key" sqref="G3:G11"/>
    <dataValidation allowBlank="1" showInputMessage="1" promptTitle="Vertex Color" prompt="To select an optional vertex color, right-click and select Select Color on the right-click menu." sqref="C3:C11"/>
    <dataValidation allowBlank="1" showInputMessage="1" promptTitle="Vertex Opacity" prompt="Enter an optional vertex opacity between 0 (transparent) and 100 (opaque)." errorTitle="Invalid Vertex Opacity" error="The optional vertex opacity must be a whole number between 0 and 10." sqref="F3:F11"/>
    <dataValidation type="list" allowBlank="1" showInputMessage="1" showErrorMessage="1" promptTitle="Vertex Shape" prompt="Select an optional vertex shape." errorTitle="Invalid Vertex Shape" error="You have entered an invalid vertex shape.  Try selecting from the drop-down list instead." sqref="D3:D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
      <formula1>ValidVertexLabelPositions</formula1>
    </dataValidation>
    <dataValidation allowBlank="1" showInputMessage="1" showErrorMessage="1" promptTitle="Vertex Name" prompt="Enter the name of the vertex." sqref="A3:A11"/>
  </dataValidations>
  <hyperlinks>
    <hyperlink ref="AM4" r:id="rId1" display="https://t.co/6dzviU8kJ5"/>
    <hyperlink ref="AM5" r:id="rId2" display="https://t.co/YRfZBG0KfB"/>
    <hyperlink ref="AM6" r:id="rId3" display="https://t.co/5l6ScLpQDF"/>
    <hyperlink ref="AM7" r:id="rId4" display="https://t.co/mmVTnZe0Sy"/>
    <hyperlink ref="AM8" r:id="rId5" display="https://t.co/FKKr76FLpx"/>
    <hyperlink ref="AM9" r:id="rId6" display="http://t.co/O0Gt9mqvGZ"/>
    <hyperlink ref="AM10" r:id="rId7" display="http://t.co/X1s40eTq9M"/>
    <hyperlink ref="AM11" r:id="rId8" display="https://t.co/9VyKpA397k"/>
    <hyperlink ref="AP3" r:id="rId9" display="https://pbs.twimg.com/profile_banners/999655757334315008/1529943470"/>
    <hyperlink ref="AP4" r:id="rId10" display="https://pbs.twimg.com/profile_banners/908301129850736640/1553181288"/>
    <hyperlink ref="AP6" r:id="rId11" display="https://pbs.twimg.com/profile_banners/24356808/1462739309"/>
    <hyperlink ref="AP7" r:id="rId12" display="https://pbs.twimg.com/profile_banners/1016342293866008576/1536159451"/>
    <hyperlink ref="AP8" r:id="rId13" display="https://pbs.twimg.com/profile_banners/151934168/1391403981"/>
    <hyperlink ref="AP9" r:id="rId14" display="https://pbs.twimg.com/profile_banners/334107188/1562937919"/>
    <hyperlink ref="AP10" r:id="rId15" display="https://pbs.twimg.com/profile_banners/12160482/1423267766"/>
    <hyperlink ref="AP11" r:id="rId16" display="https://pbs.twimg.com/profile_banners/16327532/1528234316"/>
    <hyperlink ref="AV3" r:id="rId17" display="http://abs.twimg.com/images/themes/theme1/bg.png"/>
    <hyperlink ref="AV4" r:id="rId18" display="http://abs.twimg.com/images/themes/theme1/bg.png"/>
    <hyperlink ref="AV5" r:id="rId19" display="http://abs.twimg.com/images/themes/theme1/bg.png"/>
    <hyperlink ref="AV6" r:id="rId20" display="http://abs.twimg.com/images/themes/theme6/bg.gif"/>
    <hyperlink ref="AV8" r:id="rId21" display="http://abs.twimg.com/images/themes/theme1/bg.png"/>
    <hyperlink ref="AV9" r:id="rId22" display="http://abs.twimg.com/images/themes/theme4/bg.gif"/>
    <hyperlink ref="AV10" r:id="rId23" display="http://abs.twimg.com/images/themes/theme3/bg.gif"/>
    <hyperlink ref="AV11" r:id="rId24" display="http://abs.twimg.com/images/themes/theme18/bg.gif"/>
    <hyperlink ref="G3" r:id="rId25" display="http://pbs.twimg.com/profile_images/1131474948713791488/nry1aFRS_normal.jpg"/>
    <hyperlink ref="G4" r:id="rId26" display="http://pbs.twimg.com/profile_images/1131533338810998784/2ZRAqzU2_normal.jpg"/>
    <hyperlink ref="G5" r:id="rId27" display="http://pbs.twimg.com/profile_images/702241665386475520/EZcLDYQz_normal.jpg"/>
    <hyperlink ref="G6" r:id="rId28" display="http://pbs.twimg.com/profile_images/735028295952130048/RkqnhTAR_normal.jpg"/>
    <hyperlink ref="G7" r:id="rId29" display="http://pbs.twimg.com/profile_images/1176024355442253824/9nuKmRd3_normal.jpg"/>
    <hyperlink ref="G8" r:id="rId30" display="http://pbs.twimg.com/profile_images/849133030237061120/6hUrNP0a_normal.jpg"/>
    <hyperlink ref="G9" r:id="rId31" display="http://pbs.twimg.com/profile_images/1149670117829206016/IVQKD-jK_normal.jpg"/>
    <hyperlink ref="G10" r:id="rId32" display="http://pbs.twimg.com/profile_images/943596894831255552/cMOzkc5i_normal.jpg"/>
    <hyperlink ref="G11" r:id="rId33" display="http://pbs.twimg.com/profile_images/1004103253997576194/qiK9_33y_normal.jpg"/>
    <hyperlink ref="AY3" r:id="rId34" display="https://twitter.com/dariusphilipp"/>
    <hyperlink ref="AY4" r:id="rId35" display="https://twitter.com/jwi_berlin"/>
    <hyperlink ref="AY5" r:id="rId36" display="https://twitter.com/camcam"/>
    <hyperlink ref="AY6" r:id="rId37" display="https://twitter.com/strippel"/>
    <hyperlink ref="AY7" r:id="rId38" display="https://twitter.com/jwi_polcomm14"/>
    <hyperlink ref="AY8" r:id="rId39" display="https://twitter.com/smr_foundation"/>
    <hyperlink ref="AY9" r:id="rId40" display="https://twitter.com/hiig_berlin"/>
    <hyperlink ref="AY10" r:id="rId41" display="https://twitter.com/marc_smith"/>
    <hyperlink ref="AY11" r:id="rId42" display="https://twitter.com/ckatzenbach"/>
  </hyperlinks>
  <printOptions/>
  <pageMargins left="0.7" right="0.7" top="0.75" bottom="0.75" header="0.3" footer="0.3"/>
  <pageSetup horizontalDpi="600" verticalDpi="600" orientation="portrait" r:id="rId47"/>
  <drawing r:id="rId46"/>
  <legacyDrawing r:id="rId44"/>
  <tableParts>
    <tablePart r:id="rId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376</v>
      </c>
      <c r="Z2" s="13" t="s">
        <v>379</v>
      </c>
      <c r="AA2" s="13" t="s">
        <v>382</v>
      </c>
      <c r="AB2" s="13" t="s">
        <v>390</v>
      </c>
      <c r="AC2" s="13" t="s">
        <v>394</v>
      </c>
      <c r="AD2" s="13" t="s">
        <v>399</v>
      </c>
      <c r="AE2" s="13" t="s">
        <v>400</v>
      </c>
      <c r="AF2" s="13" t="s">
        <v>404</v>
      </c>
      <c r="AG2" s="68" t="s">
        <v>434</v>
      </c>
      <c r="AH2" s="68" t="s">
        <v>435</v>
      </c>
      <c r="AI2" s="68" t="s">
        <v>436</v>
      </c>
      <c r="AJ2" s="68" t="s">
        <v>437</v>
      </c>
      <c r="AK2" s="68" t="s">
        <v>438</v>
      </c>
      <c r="AL2" s="68" t="s">
        <v>439</v>
      </c>
      <c r="AM2" s="68" t="s">
        <v>440</v>
      </c>
      <c r="AN2" s="68" t="s">
        <v>441</v>
      </c>
      <c r="AO2" s="68" t="s">
        <v>444</v>
      </c>
    </row>
    <row r="3" spans="1:41" ht="15">
      <c r="A3" s="85" t="s">
        <v>367</v>
      </c>
      <c r="B3" s="121" t="s">
        <v>368</v>
      </c>
      <c r="C3" s="121" t="s">
        <v>56</v>
      </c>
      <c r="D3" s="15"/>
      <c r="E3" s="15"/>
      <c r="F3" s="16" t="s">
        <v>479</v>
      </c>
      <c r="G3" s="78"/>
      <c r="H3" s="78"/>
      <c r="I3" s="64">
        <v>3</v>
      </c>
      <c r="J3" s="64"/>
      <c r="K3" s="51">
        <v>9</v>
      </c>
      <c r="L3" s="51">
        <v>8</v>
      </c>
      <c r="M3" s="51">
        <v>0</v>
      </c>
      <c r="N3" s="51">
        <v>8</v>
      </c>
      <c r="O3" s="51">
        <v>0</v>
      </c>
      <c r="P3" s="52">
        <v>0</v>
      </c>
      <c r="Q3" s="52">
        <v>0</v>
      </c>
      <c r="R3" s="51">
        <v>1</v>
      </c>
      <c r="S3" s="51">
        <v>0</v>
      </c>
      <c r="T3" s="51">
        <v>9</v>
      </c>
      <c r="U3" s="51">
        <v>8</v>
      </c>
      <c r="V3" s="51">
        <v>2</v>
      </c>
      <c r="W3" s="52">
        <v>1.580247</v>
      </c>
      <c r="X3" s="52">
        <v>0.1111111111111111</v>
      </c>
      <c r="Y3" s="86"/>
      <c r="Z3" s="86"/>
      <c r="AA3" s="86" t="s">
        <v>226</v>
      </c>
      <c r="AB3" s="94" t="s">
        <v>391</v>
      </c>
      <c r="AC3" s="94" t="s">
        <v>234</v>
      </c>
      <c r="AD3" s="94" t="s">
        <v>222</v>
      </c>
      <c r="AE3" s="94" t="s">
        <v>401</v>
      </c>
      <c r="AF3" s="94" t="s">
        <v>405</v>
      </c>
      <c r="AG3" s="123">
        <v>2</v>
      </c>
      <c r="AH3" s="126">
        <v>6.25</v>
      </c>
      <c r="AI3" s="123">
        <v>0</v>
      </c>
      <c r="AJ3" s="126">
        <v>0</v>
      </c>
      <c r="AK3" s="123">
        <v>0</v>
      </c>
      <c r="AL3" s="126">
        <v>0</v>
      </c>
      <c r="AM3" s="123">
        <v>30</v>
      </c>
      <c r="AN3" s="126">
        <v>93.75</v>
      </c>
      <c r="AO3" s="123">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367</v>
      </c>
      <c r="B2" s="94" t="s">
        <v>214</v>
      </c>
      <c r="C2" s="86">
        <f>VLOOKUP(GroupVertices[[#This Row],[Vertex]],Vertices[],MATCH("ID",Vertices[[#Headers],[Vertex]:[Vertex Content Word Count]],0),FALSE)</f>
        <v>3</v>
      </c>
    </row>
    <row r="3" spans="1:3" ht="15">
      <c r="A3" s="86" t="s">
        <v>367</v>
      </c>
      <c r="B3" s="94" t="s">
        <v>222</v>
      </c>
      <c r="C3" s="86">
        <f>VLOOKUP(GroupVertices[[#This Row],[Vertex]],Vertices[],MATCH("ID",Vertices[[#Headers],[Vertex]:[Vertex Content Word Count]],0),FALSE)</f>
        <v>11</v>
      </c>
    </row>
    <row r="4" spans="1:3" ht="15">
      <c r="A4" s="86" t="s">
        <v>367</v>
      </c>
      <c r="B4" s="94" t="s">
        <v>221</v>
      </c>
      <c r="C4" s="86">
        <f>VLOOKUP(GroupVertices[[#This Row],[Vertex]],Vertices[],MATCH("ID",Vertices[[#Headers],[Vertex]:[Vertex Content Word Count]],0),FALSE)</f>
        <v>10</v>
      </c>
    </row>
    <row r="5" spans="1:3" ht="15">
      <c r="A5" s="86" t="s">
        <v>367</v>
      </c>
      <c r="B5" s="94" t="s">
        <v>220</v>
      </c>
      <c r="C5" s="86">
        <f>VLOOKUP(GroupVertices[[#This Row],[Vertex]],Vertices[],MATCH("ID",Vertices[[#Headers],[Vertex]:[Vertex Content Word Count]],0),FALSE)</f>
        <v>9</v>
      </c>
    </row>
    <row r="6" spans="1:3" ht="15">
      <c r="A6" s="86" t="s">
        <v>367</v>
      </c>
      <c r="B6" s="94" t="s">
        <v>219</v>
      </c>
      <c r="C6" s="86">
        <f>VLOOKUP(GroupVertices[[#This Row],[Vertex]],Vertices[],MATCH("ID",Vertices[[#Headers],[Vertex]:[Vertex Content Word Count]],0),FALSE)</f>
        <v>8</v>
      </c>
    </row>
    <row r="7" spans="1:3" ht="15">
      <c r="A7" s="86" t="s">
        <v>367</v>
      </c>
      <c r="B7" s="94" t="s">
        <v>218</v>
      </c>
      <c r="C7" s="86">
        <f>VLOOKUP(GroupVertices[[#This Row],[Vertex]],Vertices[],MATCH("ID",Vertices[[#Headers],[Vertex]:[Vertex Content Word Count]],0),FALSE)</f>
        <v>7</v>
      </c>
    </row>
    <row r="8" spans="1:3" ht="15">
      <c r="A8" s="86" t="s">
        <v>367</v>
      </c>
      <c r="B8" s="94" t="s">
        <v>217</v>
      </c>
      <c r="C8" s="86">
        <f>VLOOKUP(GroupVertices[[#This Row],[Vertex]],Vertices[],MATCH("ID",Vertices[[#Headers],[Vertex]:[Vertex Content Word Count]],0),FALSE)</f>
        <v>6</v>
      </c>
    </row>
    <row r="9" spans="1:3" ht="15">
      <c r="A9" s="86" t="s">
        <v>367</v>
      </c>
      <c r="B9" s="94" t="s">
        <v>216</v>
      </c>
      <c r="C9" s="86">
        <f>VLOOKUP(GroupVertices[[#This Row],[Vertex]],Vertices[],MATCH("ID",Vertices[[#Headers],[Vertex]:[Vertex Content Word Count]],0),FALSE)</f>
        <v>5</v>
      </c>
    </row>
    <row r="10" spans="1:3" ht="15">
      <c r="A10" s="86" t="s">
        <v>367</v>
      </c>
      <c r="B10" s="94" t="s">
        <v>215</v>
      </c>
      <c r="C10"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448</v>
      </c>
      <c r="B2" s="36" t="s">
        <v>328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8</v>
      </c>
      <c r="L2" s="39">
        <f>MIN(Vertices[Closeness Centrality])</f>
        <v>0.066667</v>
      </c>
      <c r="M2" s="40">
        <f>COUNTIF(Vertices[Closeness Centrality],"&gt;= "&amp;L2)-COUNTIF(Vertices[Closeness Centrality],"&gt;="&amp;L3)</f>
        <v>8</v>
      </c>
      <c r="N2" s="39">
        <f>MIN(Vertices[Eigenvector Centrality])</f>
        <v>0.111111</v>
      </c>
      <c r="O2" s="40">
        <f>COUNTIF(Vertices[Eigenvector Centrality],"&gt;= "&amp;N2)-COUNTIF(Vertices[Eigenvector Centrality],"&gt;="&amp;N3)</f>
        <v>0</v>
      </c>
      <c r="P2" s="39">
        <f>MIN(Vertices[PageRank])</f>
        <v>0.597938</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1.018181818181818</v>
      </c>
      <c r="K3" s="42">
        <f>COUNTIF(Vertices[Betweenness Centrality],"&gt;= "&amp;J3)-COUNTIF(Vertices[Betweenness Centrality],"&gt;="&amp;J4)</f>
        <v>0</v>
      </c>
      <c r="L3" s="41">
        <f aca="true" t="shared" si="5" ref="L3:L26">L2+($L$57-$L$2)/BinDivisor</f>
        <v>0.0677276</v>
      </c>
      <c r="M3" s="42">
        <f>COUNTIF(Vertices[Closeness Centrality],"&gt;= "&amp;L3)-COUNTIF(Vertices[Closeness Centrality],"&gt;="&amp;L4)</f>
        <v>0</v>
      </c>
      <c r="N3" s="41">
        <f aca="true" t="shared" si="6" ref="N3:N26">N2+($N$57-$N$2)/BinDivisor</f>
        <v>0.111111</v>
      </c>
      <c r="O3" s="42">
        <f>COUNTIF(Vertices[Eigenvector Centrality],"&gt;= "&amp;N3)-COUNTIF(Vertices[Eigenvector Centrality],"&gt;="&amp;N4)</f>
        <v>0</v>
      </c>
      <c r="P3" s="41">
        <f aca="true" t="shared" si="7" ref="P3:P26">P2+($P$57-$P$2)/BinDivisor</f>
        <v>0.6637200181818181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0.03636363636363636</v>
      </c>
      <c r="G4" s="40">
        <f>COUNTIF(Vertices[In-Degree],"&gt;= "&amp;F4)-COUNTIF(Vertices[In-Degree],"&gt;="&amp;F5)</f>
        <v>0</v>
      </c>
      <c r="H4" s="39">
        <f t="shared" si="3"/>
        <v>0.2909090909090909</v>
      </c>
      <c r="I4" s="40">
        <f>COUNTIF(Vertices[Out-Degree],"&gt;= "&amp;H4)-COUNTIF(Vertices[Out-Degree],"&gt;="&amp;H5)</f>
        <v>0</v>
      </c>
      <c r="J4" s="39">
        <f t="shared" si="4"/>
        <v>2.036363636363636</v>
      </c>
      <c r="K4" s="40">
        <f>COUNTIF(Vertices[Betweenness Centrality],"&gt;= "&amp;J4)-COUNTIF(Vertices[Betweenness Centrality],"&gt;="&amp;J5)</f>
        <v>0</v>
      </c>
      <c r="L4" s="39">
        <f t="shared" si="5"/>
        <v>0.0687882</v>
      </c>
      <c r="M4" s="40">
        <f>COUNTIF(Vertices[Closeness Centrality],"&gt;= "&amp;L4)-COUNTIF(Vertices[Closeness Centrality],"&gt;="&amp;L5)</f>
        <v>0</v>
      </c>
      <c r="N4" s="39">
        <f t="shared" si="6"/>
        <v>0.111111</v>
      </c>
      <c r="O4" s="40">
        <f>COUNTIF(Vertices[Eigenvector Centrality],"&gt;= "&amp;N4)-COUNTIF(Vertices[Eigenvector Centrality],"&gt;="&amp;N5)</f>
        <v>0</v>
      </c>
      <c r="P4" s="39">
        <f t="shared" si="7"/>
        <v>0.7295020363636363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0.05454545454545454</v>
      </c>
      <c r="G5" s="42">
        <f>COUNTIF(Vertices[In-Degree],"&gt;= "&amp;F5)-COUNTIF(Vertices[In-Degree],"&gt;="&amp;F6)</f>
        <v>0</v>
      </c>
      <c r="H5" s="41">
        <f t="shared" si="3"/>
        <v>0.43636363636363634</v>
      </c>
      <c r="I5" s="42">
        <f>COUNTIF(Vertices[Out-Degree],"&gt;= "&amp;H5)-COUNTIF(Vertices[Out-Degree],"&gt;="&amp;H6)</f>
        <v>0</v>
      </c>
      <c r="J5" s="41">
        <f t="shared" si="4"/>
        <v>3.0545454545454542</v>
      </c>
      <c r="K5" s="42">
        <f>COUNTIF(Vertices[Betweenness Centrality],"&gt;= "&amp;J5)-COUNTIF(Vertices[Betweenness Centrality],"&gt;="&amp;J6)</f>
        <v>0</v>
      </c>
      <c r="L5" s="41">
        <f t="shared" si="5"/>
        <v>0.06984879999999999</v>
      </c>
      <c r="M5" s="42">
        <f>COUNTIF(Vertices[Closeness Centrality],"&gt;= "&amp;L5)-COUNTIF(Vertices[Closeness Centrality],"&gt;="&amp;L6)</f>
        <v>0</v>
      </c>
      <c r="N5" s="41">
        <f t="shared" si="6"/>
        <v>0.111111</v>
      </c>
      <c r="O5" s="42">
        <f>COUNTIF(Vertices[Eigenvector Centrality],"&gt;= "&amp;N5)-COUNTIF(Vertices[Eigenvector Centrality],"&gt;="&amp;N6)</f>
        <v>0</v>
      </c>
      <c r="P5" s="41">
        <f t="shared" si="7"/>
        <v>0.7952840545454545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0.07272727272727272</v>
      </c>
      <c r="G6" s="40">
        <f>COUNTIF(Vertices[In-Degree],"&gt;= "&amp;F6)-COUNTIF(Vertices[In-Degree],"&gt;="&amp;F7)</f>
        <v>0</v>
      </c>
      <c r="H6" s="39">
        <f t="shared" si="3"/>
        <v>0.5818181818181818</v>
      </c>
      <c r="I6" s="40">
        <f>COUNTIF(Vertices[Out-Degree],"&gt;= "&amp;H6)-COUNTIF(Vertices[Out-Degree],"&gt;="&amp;H7)</f>
        <v>0</v>
      </c>
      <c r="J6" s="39">
        <f t="shared" si="4"/>
        <v>4.072727272727272</v>
      </c>
      <c r="K6" s="40">
        <f>COUNTIF(Vertices[Betweenness Centrality],"&gt;= "&amp;J6)-COUNTIF(Vertices[Betweenness Centrality],"&gt;="&amp;J7)</f>
        <v>0</v>
      </c>
      <c r="L6" s="39">
        <f t="shared" si="5"/>
        <v>0.07090939999999998</v>
      </c>
      <c r="M6" s="40">
        <f>COUNTIF(Vertices[Closeness Centrality],"&gt;= "&amp;L6)-COUNTIF(Vertices[Closeness Centrality],"&gt;="&amp;L7)</f>
        <v>0</v>
      </c>
      <c r="N6" s="39">
        <f t="shared" si="6"/>
        <v>0.111111</v>
      </c>
      <c r="O6" s="40">
        <f>COUNTIF(Vertices[Eigenvector Centrality],"&gt;= "&amp;N6)-COUNTIF(Vertices[Eigenvector Centrality],"&gt;="&amp;N7)</f>
        <v>0</v>
      </c>
      <c r="P6" s="39">
        <f t="shared" si="7"/>
        <v>0.8610660727272726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0.7272727272727273</v>
      </c>
      <c r="I7" s="42">
        <f>COUNTIF(Vertices[Out-Degree],"&gt;= "&amp;H7)-COUNTIF(Vertices[Out-Degree],"&gt;="&amp;H8)</f>
        <v>0</v>
      </c>
      <c r="J7" s="41">
        <f t="shared" si="4"/>
        <v>5.09090909090909</v>
      </c>
      <c r="K7" s="42">
        <f>COUNTIF(Vertices[Betweenness Centrality],"&gt;= "&amp;J7)-COUNTIF(Vertices[Betweenness Centrality],"&gt;="&amp;J8)</f>
        <v>0</v>
      </c>
      <c r="L7" s="41">
        <f t="shared" si="5"/>
        <v>0.07196999999999998</v>
      </c>
      <c r="M7" s="42">
        <f>COUNTIF(Vertices[Closeness Centrality],"&gt;= "&amp;L7)-COUNTIF(Vertices[Closeness Centrality],"&gt;="&amp;L8)</f>
        <v>0</v>
      </c>
      <c r="N7" s="41">
        <f t="shared" si="6"/>
        <v>0.111111</v>
      </c>
      <c r="O7" s="42">
        <f>COUNTIF(Vertices[Eigenvector Centrality],"&gt;= "&amp;N7)-COUNTIF(Vertices[Eigenvector Centrality],"&gt;="&amp;N8)</f>
        <v>0</v>
      </c>
      <c r="P7" s="41">
        <f t="shared" si="7"/>
        <v>0.9268480909090908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0.1090909090909091</v>
      </c>
      <c r="G8" s="40">
        <f>COUNTIF(Vertices[In-Degree],"&gt;= "&amp;F8)-COUNTIF(Vertices[In-Degree],"&gt;="&amp;F9)</f>
        <v>0</v>
      </c>
      <c r="H8" s="39">
        <f t="shared" si="3"/>
        <v>0.8727272727272728</v>
      </c>
      <c r="I8" s="40">
        <f>COUNTIF(Vertices[Out-Degree],"&gt;= "&amp;H8)-COUNTIF(Vertices[Out-Degree],"&gt;="&amp;H9)</f>
        <v>0</v>
      </c>
      <c r="J8" s="39">
        <f t="shared" si="4"/>
        <v>6.109090909090908</v>
      </c>
      <c r="K8" s="40">
        <f>COUNTIF(Vertices[Betweenness Centrality],"&gt;= "&amp;J8)-COUNTIF(Vertices[Betweenness Centrality],"&gt;="&amp;J9)</f>
        <v>0</v>
      </c>
      <c r="L8" s="39">
        <f t="shared" si="5"/>
        <v>0.07303059999999997</v>
      </c>
      <c r="M8" s="40">
        <f>COUNTIF(Vertices[Closeness Centrality],"&gt;= "&amp;L8)-COUNTIF(Vertices[Closeness Centrality],"&gt;="&amp;L9)</f>
        <v>0</v>
      </c>
      <c r="N8" s="39">
        <f t="shared" si="6"/>
        <v>0.111111</v>
      </c>
      <c r="O8" s="40">
        <f>COUNTIF(Vertices[Eigenvector Centrality],"&gt;= "&amp;N8)-COUNTIF(Vertices[Eigenvector Centrality],"&gt;="&amp;N9)</f>
        <v>0</v>
      </c>
      <c r="P8" s="39">
        <f t="shared" si="7"/>
        <v>0.992630109090909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0.1272727272727273</v>
      </c>
      <c r="G9" s="42">
        <f>COUNTIF(Vertices[In-Degree],"&gt;= "&amp;F9)-COUNTIF(Vertices[In-Degree],"&gt;="&amp;F10)</f>
        <v>0</v>
      </c>
      <c r="H9" s="41">
        <f t="shared" si="3"/>
        <v>1.0181818181818183</v>
      </c>
      <c r="I9" s="42">
        <f>COUNTIF(Vertices[Out-Degree],"&gt;= "&amp;H9)-COUNTIF(Vertices[Out-Degree],"&gt;="&amp;H10)</f>
        <v>0</v>
      </c>
      <c r="J9" s="41">
        <f t="shared" si="4"/>
        <v>7.127272727272725</v>
      </c>
      <c r="K9" s="42">
        <f>COUNTIF(Vertices[Betweenness Centrality],"&gt;= "&amp;J9)-COUNTIF(Vertices[Betweenness Centrality],"&gt;="&amp;J10)</f>
        <v>0</v>
      </c>
      <c r="L9" s="41">
        <f t="shared" si="5"/>
        <v>0.07409119999999997</v>
      </c>
      <c r="M9" s="42">
        <f>COUNTIF(Vertices[Closeness Centrality],"&gt;= "&amp;L9)-COUNTIF(Vertices[Closeness Centrality],"&gt;="&amp;L10)</f>
        <v>0</v>
      </c>
      <c r="N9" s="41">
        <f t="shared" si="6"/>
        <v>0.111111</v>
      </c>
      <c r="O9" s="42">
        <f>COUNTIF(Vertices[Eigenvector Centrality],"&gt;= "&amp;N9)-COUNTIF(Vertices[Eigenvector Centrality],"&gt;="&amp;N10)</f>
        <v>0</v>
      </c>
      <c r="P9" s="41">
        <f t="shared" si="7"/>
        <v>1.0584121272727272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0.14545454545454548</v>
      </c>
      <c r="G10" s="40">
        <f>COUNTIF(Vertices[In-Degree],"&gt;= "&amp;F10)-COUNTIF(Vertices[In-Degree],"&gt;="&amp;F11)</f>
        <v>0</v>
      </c>
      <c r="H10" s="39">
        <f t="shared" si="3"/>
        <v>1.1636363636363638</v>
      </c>
      <c r="I10" s="40">
        <f>COUNTIF(Vertices[Out-Degree],"&gt;= "&amp;H10)-COUNTIF(Vertices[Out-Degree],"&gt;="&amp;H11)</f>
        <v>0</v>
      </c>
      <c r="J10" s="39">
        <f t="shared" si="4"/>
        <v>8.145454545454543</v>
      </c>
      <c r="K10" s="40">
        <f>COUNTIF(Vertices[Betweenness Centrality],"&gt;= "&amp;J10)-COUNTIF(Vertices[Betweenness Centrality],"&gt;="&amp;J11)</f>
        <v>0</v>
      </c>
      <c r="L10" s="39">
        <f t="shared" si="5"/>
        <v>0.07515179999999996</v>
      </c>
      <c r="M10" s="40">
        <f>COUNTIF(Vertices[Closeness Centrality],"&gt;= "&amp;L10)-COUNTIF(Vertices[Closeness Centrality],"&gt;="&amp;L11)</f>
        <v>0</v>
      </c>
      <c r="N10" s="39">
        <f t="shared" si="6"/>
        <v>0.111111</v>
      </c>
      <c r="O10" s="40">
        <f>COUNTIF(Vertices[Eigenvector Centrality],"&gt;= "&amp;N10)-COUNTIF(Vertices[Eigenvector Centrality],"&gt;="&amp;N11)</f>
        <v>0</v>
      </c>
      <c r="P10" s="39">
        <f t="shared" si="7"/>
        <v>1.1241941454545454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0.16363636363636366</v>
      </c>
      <c r="G11" s="42">
        <f>COUNTIF(Vertices[In-Degree],"&gt;= "&amp;F11)-COUNTIF(Vertices[In-Degree],"&gt;="&amp;F12)</f>
        <v>0</v>
      </c>
      <c r="H11" s="41">
        <f t="shared" si="3"/>
        <v>1.3090909090909093</v>
      </c>
      <c r="I11" s="42">
        <f>COUNTIF(Vertices[Out-Degree],"&gt;= "&amp;H11)-COUNTIF(Vertices[Out-Degree],"&gt;="&amp;H12)</f>
        <v>0</v>
      </c>
      <c r="J11" s="41">
        <f t="shared" si="4"/>
        <v>9.16363636363636</v>
      </c>
      <c r="K11" s="42">
        <f>COUNTIF(Vertices[Betweenness Centrality],"&gt;= "&amp;J11)-COUNTIF(Vertices[Betweenness Centrality],"&gt;="&amp;J12)</f>
        <v>0</v>
      </c>
      <c r="L11" s="41">
        <f t="shared" si="5"/>
        <v>0.07621239999999996</v>
      </c>
      <c r="M11" s="42">
        <f>COUNTIF(Vertices[Closeness Centrality],"&gt;= "&amp;L11)-COUNTIF(Vertices[Closeness Centrality],"&gt;="&amp;L12)</f>
        <v>0</v>
      </c>
      <c r="N11" s="41">
        <f t="shared" si="6"/>
        <v>0.111111</v>
      </c>
      <c r="O11" s="42">
        <f>COUNTIF(Vertices[Eigenvector Centrality],"&gt;= "&amp;N11)-COUNTIF(Vertices[Eigenvector Centrality],"&gt;="&amp;N12)</f>
        <v>0</v>
      </c>
      <c r="P11" s="41">
        <f t="shared" si="7"/>
        <v>1.1899761636363637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0.18181818181818185</v>
      </c>
      <c r="G12" s="40">
        <f>COUNTIF(Vertices[In-Degree],"&gt;= "&amp;F12)-COUNTIF(Vertices[In-Degree],"&gt;="&amp;F13)</f>
        <v>0</v>
      </c>
      <c r="H12" s="39">
        <f t="shared" si="3"/>
        <v>1.4545454545454548</v>
      </c>
      <c r="I12" s="40">
        <f>COUNTIF(Vertices[Out-Degree],"&gt;= "&amp;H12)-COUNTIF(Vertices[Out-Degree],"&gt;="&amp;H13)</f>
        <v>0</v>
      </c>
      <c r="J12" s="39">
        <f t="shared" si="4"/>
        <v>10.181818181818178</v>
      </c>
      <c r="K12" s="40">
        <f>COUNTIF(Vertices[Betweenness Centrality],"&gt;= "&amp;J12)-COUNTIF(Vertices[Betweenness Centrality],"&gt;="&amp;J13)</f>
        <v>0</v>
      </c>
      <c r="L12" s="39">
        <f t="shared" si="5"/>
        <v>0.07727299999999995</v>
      </c>
      <c r="M12" s="40">
        <f>COUNTIF(Vertices[Closeness Centrality],"&gt;= "&amp;L12)-COUNTIF(Vertices[Closeness Centrality],"&gt;="&amp;L13)</f>
        <v>0</v>
      </c>
      <c r="N12" s="39">
        <f t="shared" si="6"/>
        <v>0.111111</v>
      </c>
      <c r="O12" s="40">
        <f>COUNTIF(Vertices[Eigenvector Centrality],"&gt;= "&amp;N12)-COUNTIF(Vertices[Eigenvector Centrality],"&gt;="&amp;N13)</f>
        <v>0</v>
      </c>
      <c r="P12" s="39">
        <f t="shared" si="7"/>
        <v>1.255758181818182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0.20000000000000004</v>
      </c>
      <c r="G13" s="42">
        <f>COUNTIF(Vertices[In-Degree],"&gt;= "&amp;F13)-COUNTIF(Vertices[In-Degree],"&gt;="&amp;F14)</f>
        <v>0</v>
      </c>
      <c r="H13" s="41">
        <f t="shared" si="3"/>
        <v>1.6000000000000003</v>
      </c>
      <c r="I13" s="42">
        <f>COUNTIF(Vertices[Out-Degree],"&gt;= "&amp;H13)-COUNTIF(Vertices[Out-Degree],"&gt;="&amp;H14)</f>
        <v>0</v>
      </c>
      <c r="J13" s="41">
        <f t="shared" si="4"/>
        <v>11.199999999999996</v>
      </c>
      <c r="K13" s="42">
        <f>COUNTIF(Vertices[Betweenness Centrality],"&gt;= "&amp;J13)-COUNTIF(Vertices[Betweenness Centrality],"&gt;="&amp;J14)</f>
        <v>0</v>
      </c>
      <c r="L13" s="41">
        <f t="shared" si="5"/>
        <v>0.07833359999999995</v>
      </c>
      <c r="M13" s="42">
        <f>COUNTIF(Vertices[Closeness Centrality],"&gt;= "&amp;L13)-COUNTIF(Vertices[Closeness Centrality],"&gt;="&amp;L14)</f>
        <v>0</v>
      </c>
      <c r="N13" s="41">
        <f t="shared" si="6"/>
        <v>0.111111</v>
      </c>
      <c r="O13" s="42">
        <f>COUNTIF(Vertices[Eigenvector Centrality],"&gt;= "&amp;N13)-COUNTIF(Vertices[Eigenvector Centrality],"&gt;="&amp;N14)</f>
        <v>0</v>
      </c>
      <c r="P13" s="41">
        <f t="shared" si="7"/>
        <v>1.3215402000000003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0.21818181818181823</v>
      </c>
      <c r="G14" s="40">
        <f>COUNTIF(Vertices[In-Degree],"&gt;= "&amp;F14)-COUNTIF(Vertices[In-Degree],"&gt;="&amp;F15)</f>
        <v>0</v>
      </c>
      <c r="H14" s="39">
        <f t="shared" si="3"/>
        <v>1.7454545454545458</v>
      </c>
      <c r="I14" s="40">
        <f>COUNTIF(Vertices[Out-Degree],"&gt;= "&amp;H14)-COUNTIF(Vertices[Out-Degree],"&gt;="&amp;H15)</f>
        <v>0</v>
      </c>
      <c r="J14" s="39">
        <f t="shared" si="4"/>
        <v>12.218181818181813</v>
      </c>
      <c r="K14" s="40">
        <f>COUNTIF(Vertices[Betweenness Centrality],"&gt;= "&amp;J14)-COUNTIF(Vertices[Betweenness Centrality],"&gt;="&amp;J15)</f>
        <v>0</v>
      </c>
      <c r="L14" s="39">
        <f t="shared" si="5"/>
        <v>0.07939419999999994</v>
      </c>
      <c r="M14" s="40">
        <f>COUNTIF(Vertices[Closeness Centrality],"&gt;= "&amp;L14)-COUNTIF(Vertices[Closeness Centrality],"&gt;="&amp;L15)</f>
        <v>0</v>
      </c>
      <c r="N14" s="39">
        <f t="shared" si="6"/>
        <v>0.111111</v>
      </c>
      <c r="O14" s="40">
        <f>COUNTIF(Vertices[Eigenvector Centrality],"&gt;= "&amp;N14)-COUNTIF(Vertices[Eigenvector Centrality],"&gt;="&amp;N15)</f>
        <v>0</v>
      </c>
      <c r="P14" s="39">
        <f t="shared" si="7"/>
        <v>1.3873222181818186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0.23636363636363641</v>
      </c>
      <c r="G15" s="42">
        <f>COUNTIF(Vertices[In-Degree],"&gt;= "&amp;F15)-COUNTIF(Vertices[In-Degree],"&gt;="&amp;F16)</f>
        <v>0</v>
      </c>
      <c r="H15" s="41">
        <f t="shared" si="3"/>
        <v>1.8909090909090913</v>
      </c>
      <c r="I15" s="42">
        <f>COUNTIF(Vertices[Out-Degree],"&gt;= "&amp;H15)-COUNTIF(Vertices[Out-Degree],"&gt;="&amp;H16)</f>
        <v>0</v>
      </c>
      <c r="J15" s="41">
        <f t="shared" si="4"/>
        <v>13.236363636363631</v>
      </c>
      <c r="K15" s="42">
        <f>COUNTIF(Vertices[Betweenness Centrality],"&gt;= "&amp;J15)-COUNTIF(Vertices[Betweenness Centrality],"&gt;="&amp;J16)</f>
        <v>0</v>
      </c>
      <c r="L15" s="41">
        <f t="shared" si="5"/>
        <v>0.08045479999999994</v>
      </c>
      <c r="M15" s="42">
        <f>COUNTIF(Vertices[Closeness Centrality],"&gt;= "&amp;L15)-COUNTIF(Vertices[Closeness Centrality],"&gt;="&amp;L16)</f>
        <v>0</v>
      </c>
      <c r="N15" s="41">
        <f t="shared" si="6"/>
        <v>0.111111</v>
      </c>
      <c r="O15" s="42">
        <f>COUNTIF(Vertices[Eigenvector Centrality],"&gt;= "&amp;N15)-COUNTIF(Vertices[Eigenvector Centrality],"&gt;="&amp;N16)</f>
        <v>0</v>
      </c>
      <c r="P15" s="41">
        <f t="shared" si="7"/>
        <v>1.4531042363636368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0.2545454545454546</v>
      </c>
      <c r="G16" s="40">
        <f>COUNTIF(Vertices[In-Degree],"&gt;= "&amp;F16)-COUNTIF(Vertices[In-Degree],"&gt;="&amp;F17)</f>
        <v>0</v>
      </c>
      <c r="H16" s="39">
        <f t="shared" si="3"/>
        <v>2.0363636363636366</v>
      </c>
      <c r="I16" s="40">
        <f>COUNTIF(Vertices[Out-Degree],"&gt;= "&amp;H16)-COUNTIF(Vertices[Out-Degree],"&gt;="&amp;H17)</f>
        <v>0</v>
      </c>
      <c r="J16" s="39">
        <f t="shared" si="4"/>
        <v>14.254545454545449</v>
      </c>
      <c r="K16" s="40">
        <f>COUNTIF(Vertices[Betweenness Centrality],"&gt;= "&amp;J16)-COUNTIF(Vertices[Betweenness Centrality],"&gt;="&amp;J17)</f>
        <v>0</v>
      </c>
      <c r="L16" s="39">
        <f t="shared" si="5"/>
        <v>0.08151539999999993</v>
      </c>
      <c r="M16" s="40">
        <f>COUNTIF(Vertices[Closeness Centrality],"&gt;= "&amp;L16)-COUNTIF(Vertices[Closeness Centrality],"&gt;="&amp;L17)</f>
        <v>0</v>
      </c>
      <c r="N16" s="39">
        <f t="shared" si="6"/>
        <v>0.111111</v>
      </c>
      <c r="O16" s="40">
        <f>COUNTIF(Vertices[Eigenvector Centrality],"&gt;= "&amp;N16)-COUNTIF(Vertices[Eigenvector Centrality],"&gt;="&amp;N17)</f>
        <v>0</v>
      </c>
      <c r="P16" s="39">
        <f t="shared" si="7"/>
        <v>1.5188862545454551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9</v>
      </c>
      <c r="D17" s="34">
        <f t="shared" si="1"/>
        <v>0</v>
      </c>
      <c r="E17" s="3">
        <f>COUNTIF(Vertices[Degree],"&gt;= "&amp;D17)-COUNTIF(Vertices[Degree],"&gt;="&amp;D18)</f>
        <v>0</v>
      </c>
      <c r="F17" s="41">
        <f t="shared" si="2"/>
        <v>0.27272727272727276</v>
      </c>
      <c r="G17" s="42">
        <f>COUNTIF(Vertices[In-Degree],"&gt;= "&amp;F17)-COUNTIF(Vertices[In-Degree],"&gt;="&amp;F18)</f>
        <v>0</v>
      </c>
      <c r="H17" s="41">
        <f t="shared" si="3"/>
        <v>2.181818181818182</v>
      </c>
      <c r="I17" s="42">
        <f>COUNTIF(Vertices[Out-Degree],"&gt;= "&amp;H17)-COUNTIF(Vertices[Out-Degree],"&gt;="&amp;H18)</f>
        <v>0</v>
      </c>
      <c r="J17" s="41">
        <f t="shared" si="4"/>
        <v>15.272727272727266</v>
      </c>
      <c r="K17" s="42">
        <f>COUNTIF(Vertices[Betweenness Centrality],"&gt;= "&amp;J17)-COUNTIF(Vertices[Betweenness Centrality],"&gt;="&amp;J18)</f>
        <v>0</v>
      </c>
      <c r="L17" s="41">
        <f t="shared" si="5"/>
        <v>0.08257599999999993</v>
      </c>
      <c r="M17" s="42">
        <f>COUNTIF(Vertices[Closeness Centrality],"&gt;= "&amp;L17)-COUNTIF(Vertices[Closeness Centrality],"&gt;="&amp;L18)</f>
        <v>0</v>
      </c>
      <c r="N17" s="41">
        <f t="shared" si="6"/>
        <v>0.111111</v>
      </c>
      <c r="O17" s="42">
        <f>COUNTIF(Vertices[Eigenvector Centrality],"&gt;= "&amp;N17)-COUNTIF(Vertices[Eigenvector Centrality],"&gt;="&amp;N18)</f>
        <v>0</v>
      </c>
      <c r="P17" s="41">
        <f t="shared" si="7"/>
        <v>1.5846682727272734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8</v>
      </c>
      <c r="D18" s="34">
        <f t="shared" si="1"/>
        <v>0</v>
      </c>
      <c r="E18" s="3">
        <f>COUNTIF(Vertices[Degree],"&gt;= "&amp;D18)-COUNTIF(Vertices[Degree],"&gt;="&amp;D19)</f>
        <v>0</v>
      </c>
      <c r="F18" s="39">
        <f t="shared" si="2"/>
        <v>0.29090909090909095</v>
      </c>
      <c r="G18" s="40">
        <f>COUNTIF(Vertices[In-Degree],"&gt;= "&amp;F18)-COUNTIF(Vertices[In-Degree],"&gt;="&amp;F19)</f>
        <v>0</v>
      </c>
      <c r="H18" s="39">
        <f t="shared" si="3"/>
        <v>2.3272727272727276</v>
      </c>
      <c r="I18" s="40">
        <f>COUNTIF(Vertices[Out-Degree],"&gt;= "&amp;H18)-COUNTIF(Vertices[Out-Degree],"&gt;="&amp;H19)</f>
        <v>0</v>
      </c>
      <c r="J18" s="39">
        <f t="shared" si="4"/>
        <v>16.290909090909086</v>
      </c>
      <c r="K18" s="40">
        <f>COUNTIF(Vertices[Betweenness Centrality],"&gt;= "&amp;J18)-COUNTIF(Vertices[Betweenness Centrality],"&gt;="&amp;J19)</f>
        <v>0</v>
      </c>
      <c r="L18" s="39">
        <f t="shared" si="5"/>
        <v>0.08363659999999992</v>
      </c>
      <c r="M18" s="40">
        <f>COUNTIF(Vertices[Closeness Centrality],"&gt;= "&amp;L18)-COUNTIF(Vertices[Closeness Centrality],"&gt;="&amp;L19)</f>
        <v>0</v>
      </c>
      <c r="N18" s="39">
        <f t="shared" si="6"/>
        <v>0.111111</v>
      </c>
      <c r="O18" s="40">
        <f>COUNTIF(Vertices[Eigenvector Centrality],"&gt;= "&amp;N18)-COUNTIF(Vertices[Eigenvector Centrality],"&gt;="&amp;N19)</f>
        <v>0</v>
      </c>
      <c r="P18" s="39">
        <f t="shared" si="7"/>
        <v>1.6504502909090917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0.30909090909090914</v>
      </c>
      <c r="G19" s="42">
        <f>COUNTIF(Vertices[In-Degree],"&gt;= "&amp;F19)-COUNTIF(Vertices[In-Degree],"&gt;="&amp;F20)</f>
        <v>0</v>
      </c>
      <c r="H19" s="41">
        <f t="shared" si="3"/>
        <v>2.472727272727273</v>
      </c>
      <c r="I19" s="42">
        <f>COUNTIF(Vertices[Out-Degree],"&gt;= "&amp;H19)-COUNTIF(Vertices[Out-Degree],"&gt;="&amp;H20)</f>
        <v>0</v>
      </c>
      <c r="J19" s="41">
        <f t="shared" si="4"/>
        <v>17.309090909090905</v>
      </c>
      <c r="K19" s="42">
        <f>COUNTIF(Vertices[Betweenness Centrality],"&gt;= "&amp;J19)-COUNTIF(Vertices[Betweenness Centrality],"&gt;="&amp;J20)</f>
        <v>0</v>
      </c>
      <c r="L19" s="41">
        <f t="shared" si="5"/>
        <v>0.08469719999999992</v>
      </c>
      <c r="M19" s="42">
        <f>COUNTIF(Vertices[Closeness Centrality],"&gt;= "&amp;L19)-COUNTIF(Vertices[Closeness Centrality],"&gt;="&amp;L20)</f>
        <v>0</v>
      </c>
      <c r="N19" s="41">
        <f t="shared" si="6"/>
        <v>0.111111</v>
      </c>
      <c r="O19" s="42">
        <f>COUNTIF(Vertices[Eigenvector Centrality],"&gt;= "&amp;N19)-COUNTIF(Vertices[Eigenvector Centrality],"&gt;="&amp;N20)</f>
        <v>0</v>
      </c>
      <c r="P19" s="41">
        <f t="shared" si="7"/>
        <v>1.71623230909091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0.3272727272727273</v>
      </c>
      <c r="G20" s="40">
        <f>COUNTIF(Vertices[In-Degree],"&gt;= "&amp;F20)-COUNTIF(Vertices[In-Degree],"&gt;="&amp;F21)</f>
        <v>0</v>
      </c>
      <c r="H20" s="39">
        <f t="shared" si="3"/>
        <v>2.6181818181818186</v>
      </c>
      <c r="I20" s="40">
        <f>COUNTIF(Vertices[Out-Degree],"&gt;= "&amp;H20)-COUNTIF(Vertices[Out-Degree],"&gt;="&amp;H21)</f>
        <v>0</v>
      </c>
      <c r="J20" s="39">
        <f t="shared" si="4"/>
        <v>18.327272727272724</v>
      </c>
      <c r="K20" s="40">
        <f>COUNTIF(Vertices[Betweenness Centrality],"&gt;= "&amp;J20)-COUNTIF(Vertices[Betweenness Centrality],"&gt;="&amp;J21)</f>
        <v>0</v>
      </c>
      <c r="L20" s="39">
        <f t="shared" si="5"/>
        <v>0.08575779999999991</v>
      </c>
      <c r="M20" s="40">
        <f>COUNTIF(Vertices[Closeness Centrality],"&gt;= "&amp;L20)-COUNTIF(Vertices[Closeness Centrality],"&gt;="&amp;L21)</f>
        <v>0</v>
      </c>
      <c r="N20" s="39">
        <f t="shared" si="6"/>
        <v>0.111111</v>
      </c>
      <c r="O20" s="40">
        <f>COUNTIF(Vertices[Eigenvector Centrality],"&gt;= "&amp;N20)-COUNTIF(Vertices[Eigenvector Centrality],"&gt;="&amp;N21)</f>
        <v>0</v>
      </c>
      <c r="P20" s="39">
        <f t="shared" si="7"/>
        <v>1.7820143272727282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1.580247</v>
      </c>
      <c r="D21" s="34">
        <f t="shared" si="1"/>
        <v>0</v>
      </c>
      <c r="E21" s="3">
        <f>COUNTIF(Vertices[Degree],"&gt;= "&amp;D21)-COUNTIF(Vertices[Degree],"&gt;="&amp;D22)</f>
        <v>0</v>
      </c>
      <c r="F21" s="41">
        <f t="shared" si="2"/>
        <v>0.3454545454545455</v>
      </c>
      <c r="G21" s="42">
        <f>COUNTIF(Vertices[In-Degree],"&gt;= "&amp;F21)-COUNTIF(Vertices[In-Degree],"&gt;="&amp;F22)</f>
        <v>0</v>
      </c>
      <c r="H21" s="41">
        <f t="shared" si="3"/>
        <v>2.763636363636364</v>
      </c>
      <c r="I21" s="42">
        <f>COUNTIF(Vertices[Out-Degree],"&gt;= "&amp;H21)-COUNTIF(Vertices[Out-Degree],"&gt;="&amp;H22)</f>
        <v>0</v>
      </c>
      <c r="J21" s="41">
        <f t="shared" si="4"/>
        <v>19.345454545454544</v>
      </c>
      <c r="K21" s="42">
        <f>COUNTIF(Vertices[Betweenness Centrality],"&gt;= "&amp;J21)-COUNTIF(Vertices[Betweenness Centrality],"&gt;="&amp;J22)</f>
        <v>0</v>
      </c>
      <c r="L21" s="41">
        <f t="shared" si="5"/>
        <v>0.0868183999999999</v>
      </c>
      <c r="M21" s="42">
        <f>COUNTIF(Vertices[Closeness Centrality],"&gt;= "&amp;L21)-COUNTIF(Vertices[Closeness Centrality],"&gt;="&amp;L22)</f>
        <v>0</v>
      </c>
      <c r="N21" s="41">
        <f t="shared" si="6"/>
        <v>0.111111</v>
      </c>
      <c r="O21" s="42">
        <f>COUNTIF(Vertices[Eigenvector Centrality],"&gt;= "&amp;N21)-COUNTIF(Vertices[Eigenvector Centrality],"&gt;="&amp;N22)</f>
        <v>0</v>
      </c>
      <c r="P21" s="41">
        <f t="shared" si="7"/>
        <v>1.8477963454545465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0.3636363636363637</v>
      </c>
      <c r="G22" s="40">
        <f>COUNTIF(Vertices[In-Degree],"&gt;= "&amp;F22)-COUNTIF(Vertices[In-Degree],"&gt;="&amp;F23)</f>
        <v>0</v>
      </c>
      <c r="H22" s="39">
        <f t="shared" si="3"/>
        <v>2.9090909090909096</v>
      </c>
      <c r="I22" s="40">
        <f>COUNTIF(Vertices[Out-Degree],"&gt;= "&amp;H22)-COUNTIF(Vertices[Out-Degree],"&gt;="&amp;H23)</f>
        <v>0</v>
      </c>
      <c r="J22" s="39">
        <f t="shared" si="4"/>
        <v>20.363636363636363</v>
      </c>
      <c r="K22" s="40">
        <f>COUNTIF(Vertices[Betweenness Centrality],"&gt;= "&amp;J22)-COUNTIF(Vertices[Betweenness Centrality],"&gt;="&amp;J23)</f>
        <v>0</v>
      </c>
      <c r="L22" s="39">
        <f t="shared" si="5"/>
        <v>0.0878789999999999</v>
      </c>
      <c r="M22" s="40">
        <f>COUNTIF(Vertices[Closeness Centrality],"&gt;= "&amp;L22)-COUNTIF(Vertices[Closeness Centrality],"&gt;="&amp;L23)</f>
        <v>0</v>
      </c>
      <c r="N22" s="39">
        <f t="shared" si="6"/>
        <v>0.111111</v>
      </c>
      <c r="O22" s="40">
        <f>COUNTIF(Vertices[Eigenvector Centrality],"&gt;= "&amp;N22)-COUNTIF(Vertices[Eigenvector Centrality],"&gt;="&amp;N23)</f>
        <v>0</v>
      </c>
      <c r="P22" s="39">
        <f t="shared" si="7"/>
        <v>1.9135783636363648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0.1111111111111111</v>
      </c>
      <c r="D23" s="34">
        <f t="shared" si="1"/>
        <v>0</v>
      </c>
      <c r="E23" s="3">
        <f>COUNTIF(Vertices[Degree],"&gt;= "&amp;D23)-COUNTIF(Vertices[Degree],"&gt;="&amp;D24)</f>
        <v>0</v>
      </c>
      <c r="F23" s="41">
        <f t="shared" si="2"/>
        <v>0.3818181818181819</v>
      </c>
      <c r="G23" s="42">
        <f>COUNTIF(Vertices[In-Degree],"&gt;= "&amp;F23)-COUNTIF(Vertices[In-Degree],"&gt;="&amp;F24)</f>
        <v>0</v>
      </c>
      <c r="H23" s="41">
        <f t="shared" si="3"/>
        <v>3.054545454545455</v>
      </c>
      <c r="I23" s="42">
        <f>COUNTIF(Vertices[Out-Degree],"&gt;= "&amp;H23)-COUNTIF(Vertices[Out-Degree],"&gt;="&amp;H24)</f>
        <v>0</v>
      </c>
      <c r="J23" s="41">
        <f t="shared" si="4"/>
        <v>21.381818181818183</v>
      </c>
      <c r="K23" s="42">
        <f>COUNTIF(Vertices[Betweenness Centrality],"&gt;= "&amp;J23)-COUNTIF(Vertices[Betweenness Centrality],"&gt;="&amp;J24)</f>
        <v>0</v>
      </c>
      <c r="L23" s="41">
        <f t="shared" si="5"/>
        <v>0.0889395999999999</v>
      </c>
      <c r="M23" s="42">
        <f>COUNTIF(Vertices[Closeness Centrality],"&gt;= "&amp;L23)-COUNTIF(Vertices[Closeness Centrality],"&gt;="&amp;L24)</f>
        <v>0</v>
      </c>
      <c r="N23" s="41">
        <f t="shared" si="6"/>
        <v>0.111111</v>
      </c>
      <c r="O23" s="42">
        <f>COUNTIF(Vertices[Eigenvector Centrality],"&gt;= "&amp;N23)-COUNTIF(Vertices[Eigenvector Centrality],"&gt;="&amp;N24)</f>
        <v>0</v>
      </c>
      <c r="P23" s="41">
        <f t="shared" si="7"/>
        <v>1.979360381818183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449</v>
      </c>
      <c r="B24" s="36">
        <v>0</v>
      </c>
      <c r="D24" s="34">
        <f t="shared" si="1"/>
        <v>0</v>
      </c>
      <c r="E24" s="3">
        <f>COUNTIF(Vertices[Degree],"&gt;= "&amp;D24)-COUNTIF(Vertices[Degree],"&gt;="&amp;D25)</f>
        <v>0</v>
      </c>
      <c r="F24" s="39">
        <f t="shared" si="2"/>
        <v>0.4000000000000001</v>
      </c>
      <c r="G24" s="40">
        <f>COUNTIF(Vertices[In-Degree],"&gt;= "&amp;F24)-COUNTIF(Vertices[In-Degree],"&gt;="&amp;F25)</f>
        <v>0</v>
      </c>
      <c r="H24" s="39">
        <f t="shared" si="3"/>
        <v>3.2000000000000006</v>
      </c>
      <c r="I24" s="40">
        <f>COUNTIF(Vertices[Out-Degree],"&gt;= "&amp;H24)-COUNTIF(Vertices[Out-Degree],"&gt;="&amp;H25)</f>
        <v>0</v>
      </c>
      <c r="J24" s="39">
        <f t="shared" si="4"/>
        <v>22.400000000000002</v>
      </c>
      <c r="K24" s="40">
        <f>COUNTIF(Vertices[Betweenness Centrality],"&gt;= "&amp;J24)-COUNTIF(Vertices[Betweenness Centrality],"&gt;="&amp;J25)</f>
        <v>0</v>
      </c>
      <c r="L24" s="39">
        <f t="shared" si="5"/>
        <v>0.09000019999999989</v>
      </c>
      <c r="M24" s="40">
        <f>COUNTIF(Vertices[Closeness Centrality],"&gt;= "&amp;L24)-COUNTIF(Vertices[Closeness Centrality],"&gt;="&amp;L25)</f>
        <v>0</v>
      </c>
      <c r="N24" s="39">
        <f t="shared" si="6"/>
        <v>0.111111</v>
      </c>
      <c r="O24" s="40">
        <f>COUNTIF(Vertices[Eigenvector Centrality],"&gt;= "&amp;N24)-COUNTIF(Vertices[Eigenvector Centrality],"&gt;="&amp;N25)</f>
        <v>0</v>
      </c>
      <c r="P24" s="39">
        <f t="shared" si="7"/>
        <v>2.0451424000000014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0.41818181818181827</v>
      </c>
      <c r="G25" s="42">
        <f>COUNTIF(Vertices[In-Degree],"&gt;= "&amp;F25)-COUNTIF(Vertices[In-Degree],"&gt;="&amp;F26)</f>
        <v>0</v>
      </c>
      <c r="H25" s="41">
        <f t="shared" si="3"/>
        <v>3.345454545454546</v>
      </c>
      <c r="I25" s="42">
        <f>COUNTIF(Vertices[Out-Degree],"&gt;= "&amp;H25)-COUNTIF(Vertices[Out-Degree],"&gt;="&amp;H26)</f>
        <v>0</v>
      </c>
      <c r="J25" s="41">
        <f t="shared" si="4"/>
        <v>23.41818181818182</v>
      </c>
      <c r="K25" s="42">
        <f>COUNTIF(Vertices[Betweenness Centrality],"&gt;= "&amp;J25)-COUNTIF(Vertices[Betweenness Centrality],"&gt;="&amp;J26)</f>
        <v>0</v>
      </c>
      <c r="L25" s="41">
        <f t="shared" si="5"/>
        <v>0.09106079999999989</v>
      </c>
      <c r="M25" s="42">
        <f>COUNTIF(Vertices[Closeness Centrality],"&gt;= "&amp;L25)-COUNTIF(Vertices[Closeness Centrality],"&gt;="&amp;L26)</f>
        <v>0</v>
      </c>
      <c r="N25" s="41">
        <f t="shared" si="6"/>
        <v>0.111111</v>
      </c>
      <c r="O25" s="42">
        <f>COUNTIF(Vertices[Eigenvector Centrality],"&gt;= "&amp;N25)-COUNTIF(Vertices[Eigenvector Centrality],"&gt;="&amp;N26)</f>
        <v>0</v>
      </c>
      <c r="P25" s="41">
        <f t="shared" si="7"/>
        <v>2.1109244181818196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450</v>
      </c>
      <c r="B26" s="36" t="s">
        <v>464</v>
      </c>
      <c r="D26" s="34">
        <f t="shared" si="1"/>
        <v>0</v>
      </c>
      <c r="E26" s="3">
        <f>COUNTIF(Vertices[Degree],"&gt;= "&amp;D26)-COUNTIF(Vertices[Degree],"&gt;="&amp;D28)</f>
        <v>0</v>
      </c>
      <c r="F26" s="39">
        <f t="shared" si="2"/>
        <v>0.43636363636363645</v>
      </c>
      <c r="G26" s="40">
        <f>COUNTIF(Vertices[In-Degree],"&gt;= "&amp;F26)-COUNTIF(Vertices[In-Degree],"&gt;="&amp;F28)</f>
        <v>0</v>
      </c>
      <c r="H26" s="39">
        <f t="shared" si="3"/>
        <v>3.4909090909090916</v>
      </c>
      <c r="I26" s="40">
        <f>COUNTIF(Vertices[Out-Degree],"&gt;= "&amp;H26)-COUNTIF(Vertices[Out-Degree],"&gt;="&amp;H28)</f>
        <v>0</v>
      </c>
      <c r="J26" s="39">
        <f t="shared" si="4"/>
        <v>24.43636363636364</v>
      </c>
      <c r="K26" s="40">
        <f>COUNTIF(Vertices[Betweenness Centrality],"&gt;= "&amp;J26)-COUNTIF(Vertices[Betweenness Centrality],"&gt;="&amp;J28)</f>
        <v>0</v>
      </c>
      <c r="L26" s="39">
        <f t="shared" si="5"/>
        <v>0.09212139999999988</v>
      </c>
      <c r="M26" s="40">
        <f>COUNTIF(Vertices[Closeness Centrality],"&gt;= "&amp;L26)-COUNTIF(Vertices[Closeness Centrality],"&gt;="&amp;L28)</f>
        <v>0</v>
      </c>
      <c r="N26" s="39">
        <f t="shared" si="6"/>
        <v>0.111111</v>
      </c>
      <c r="O26" s="40">
        <f>COUNTIF(Vertices[Eigenvector Centrality],"&gt;= "&amp;N26)-COUNTIF(Vertices[Eigenvector Centrality],"&gt;="&amp;N28)</f>
        <v>0</v>
      </c>
      <c r="P26" s="39">
        <f t="shared" si="7"/>
        <v>2.176706436363638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-8</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-9</v>
      </c>
      <c r="P27" s="79"/>
      <c r="Q27" s="80">
        <f>COUNTIF(Vertices[Eigenvector Centrality],"&gt;= "&amp;P27)-COUNTIF(Vertices[Eigenvector Centrality],"&gt;="&amp;P28)</f>
        <v>0</v>
      </c>
      <c r="R27" s="79"/>
      <c r="S27" s="81">
        <f>COUNTIF(Vertices[Clustering Coefficient],"&gt;= "&amp;R27)-COUNTIF(Vertices[Clustering Coefficient],"&gt;="&amp;R28)</f>
        <v>-9</v>
      </c>
      <c r="T27" s="79"/>
      <c r="U27" s="80">
        <f ca="1">COUNTIF(Vertices[Clustering Coefficient],"&gt;= "&amp;T27)-COUNTIF(Vertices[Clustering Coefficient],"&gt;="&amp;T28)</f>
        <v>0</v>
      </c>
    </row>
    <row r="28" spans="1:21" ht="15">
      <c r="A28" s="36" t="s">
        <v>451</v>
      </c>
      <c r="B28" s="36" t="s">
        <v>85</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3.636363636363637</v>
      </c>
      <c r="I28" s="42">
        <f>COUNTIF(Vertices[Out-Degree],"&gt;= "&amp;H28)-COUNTIF(Vertices[Out-Degree],"&gt;="&amp;H40)</f>
        <v>0</v>
      </c>
      <c r="J28" s="41">
        <f>J26+($J$57-$J$2)/BinDivisor</f>
        <v>25.45454545454546</v>
      </c>
      <c r="K28" s="42">
        <f>COUNTIF(Vertices[Betweenness Centrality],"&gt;= "&amp;J28)-COUNTIF(Vertices[Betweenness Centrality],"&gt;="&amp;J40)</f>
        <v>0</v>
      </c>
      <c r="L28" s="41">
        <f>L26+($L$57-$L$2)/BinDivisor</f>
        <v>0.09318199999999988</v>
      </c>
      <c r="M28" s="42">
        <f>COUNTIF(Vertices[Closeness Centrality],"&gt;= "&amp;L28)-COUNTIF(Vertices[Closeness Centrality],"&gt;="&amp;L40)</f>
        <v>0</v>
      </c>
      <c r="N28" s="41">
        <f>N26+($N$57-$N$2)/BinDivisor</f>
        <v>0.111111</v>
      </c>
      <c r="O28" s="42">
        <f>COUNTIF(Vertices[Eigenvector Centrality],"&gt;= "&amp;N28)-COUNTIF(Vertices[Eigenvector Centrality],"&gt;="&amp;N40)</f>
        <v>0</v>
      </c>
      <c r="P28" s="41">
        <f>P26+($P$57-$P$2)/BinDivisor</f>
        <v>2.242488454545456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452</v>
      </c>
      <c r="B30" s="36" t="s">
        <v>85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453</v>
      </c>
      <c r="B31" s="36" t="s">
        <v>85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454</v>
      </c>
      <c r="B32" s="36" t="s">
        <v>85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455</v>
      </c>
      <c r="B33" s="36" t="s">
        <v>85</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456</v>
      </c>
      <c r="B34" s="36" t="s">
        <v>85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457</v>
      </c>
      <c r="B35" s="36" t="s">
        <v>85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458</v>
      </c>
      <c r="B36" s="36" t="s">
        <v>85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459</v>
      </c>
      <c r="B37" s="36" t="s">
        <v>85</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460</v>
      </c>
      <c r="B38" s="36" t="s">
        <v>85</v>
      </c>
      <c r="D38" s="34"/>
      <c r="E38" s="3">
        <f>COUNTIF(Vertices[Degree],"&gt;= "&amp;D38)-COUNTIF(Vertices[Degree],"&gt;="&amp;D40)</f>
        <v>0</v>
      </c>
      <c r="F38" s="79"/>
      <c r="G38" s="80">
        <f>COUNTIF(Vertices[In-Degree],"&gt;= "&amp;F38)-COUNTIF(Vertices[In-Degree],"&gt;="&amp;F40)</f>
        <v>-8</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-9</v>
      </c>
      <c r="P38" s="79"/>
      <c r="Q38" s="80">
        <f>COUNTIF(Vertices[Eigenvector Centrality],"&gt;= "&amp;P38)-COUNTIF(Vertices[Eigenvector Centrality],"&gt;="&amp;P40)</f>
        <v>0</v>
      </c>
      <c r="R38" s="79"/>
      <c r="S38" s="81">
        <f>COUNTIF(Vertices[Clustering Coefficient],"&gt;= "&amp;R38)-COUNTIF(Vertices[Clustering Coefficient],"&gt;="&amp;R40)</f>
        <v>-9</v>
      </c>
      <c r="T38" s="79"/>
      <c r="U38" s="80">
        <f ca="1">COUNTIF(Vertices[Clustering Coefficient],"&gt;= "&amp;T38)-COUNTIF(Vertices[Clustering Coefficient],"&gt;="&amp;T40)</f>
        <v>0</v>
      </c>
    </row>
    <row r="39" spans="1:21" ht="15">
      <c r="A39" s="36" t="s">
        <v>21</v>
      </c>
      <c r="B39" s="36" t="s">
        <v>85</v>
      </c>
      <c r="D39" s="34"/>
      <c r="E39" s="3">
        <f>COUNTIF(Vertices[Degree],"&gt;= "&amp;D39)-COUNTIF(Vertices[Degree],"&gt;="&amp;D40)</f>
        <v>0</v>
      </c>
      <c r="F39" s="79"/>
      <c r="G39" s="80">
        <f>COUNTIF(Vertices[In-Degree],"&gt;= "&amp;F39)-COUNTIF(Vertices[In-Degree],"&gt;="&amp;F40)</f>
        <v>-8</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-9</v>
      </c>
      <c r="P39" s="79"/>
      <c r="Q39" s="80">
        <f>COUNTIF(Vertices[Eigenvector Centrality],"&gt;= "&amp;P39)-COUNTIF(Vertices[Eigenvector Centrality],"&gt;="&amp;P40)</f>
        <v>0</v>
      </c>
      <c r="R39" s="79"/>
      <c r="S39" s="81">
        <f>COUNTIF(Vertices[Clustering Coefficient],"&gt;= "&amp;R39)-COUNTIF(Vertices[Clustering Coefficient],"&gt;="&amp;R40)</f>
        <v>-9</v>
      </c>
      <c r="T39" s="79"/>
      <c r="U39" s="80">
        <f ca="1">COUNTIF(Vertices[Clustering Coefficient],"&gt;= "&amp;T39)-COUNTIF(Vertices[Clustering Coefficient],"&gt;="&amp;T40)</f>
        <v>0</v>
      </c>
    </row>
    <row r="40" spans="1:21" ht="15">
      <c r="A40" s="36" t="s">
        <v>461</v>
      </c>
      <c r="B40" s="36" t="s">
        <v>85</v>
      </c>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3.7818181818181826</v>
      </c>
      <c r="I40" s="40">
        <f>COUNTIF(Vertices[Out-Degree],"&gt;= "&amp;H40)-COUNTIF(Vertices[Out-Degree],"&gt;="&amp;H41)</f>
        <v>0</v>
      </c>
      <c r="J40" s="39">
        <f>J28+($J$57-$J$2)/BinDivisor</f>
        <v>26.47272727272728</v>
      </c>
      <c r="K40" s="40">
        <f>COUNTIF(Vertices[Betweenness Centrality],"&gt;= "&amp;J40)-COUNTIF(Vertices[Betweenness Centrality],"&gt;="&amp;J41)</f>
        <v>0</v>
      </c>
      <c r="L40" s="39">
        <f>L28+($L$57-$L$2)/BinDivisor</f>
        <v>0.09424259999999987</v>
      </c>
      <c r="M40" s="40">
        <f>COUNTIF(Vertices[Closeness Centrality],"&gt;= "&amp;L40)-COUNTIF(Vertices[Closeness Centrality],"&gt;="&amp;L41)</f>
        <v>0</v>
      </c>
      <c r="N40" s="39">
        <f>N28+($N$57-$N$2)/BinDivisor</f>
        <v>0.111111</v>
      </c>
      <c r="O40" s="40">
        <f>COUNTIF(Vertices[Eigenvector Centrality],"&gt;= "&amp;N40)-COUNTIF(Vertices[Eigenvector Centrality],"&gt;="&amp;N41)</f>
        <v>0</v>
      </c>
      <c r="P40" s="39">
        <f>P28+($P$57-$P$2)/BinDivisor</f>
        <v>2.3082704727272745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462</v>
      </c>
      <c r="B41" s="36" t="s">
        <v>85</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3.927272727272728</v>
      </c>
      <c r="I41" s="42">
        <f>COUNTIF(Vertices[Out-Degree],"&gt;= "&amp;H41)-COUNTIF(Vertices[Out-Degree],"&gt;="&amp;H42)</f>
        <v>0</v>
      </c>
      <c r="J41" s="41">
        <f aca="true" t="shared" si="13" ref="J41:J56">J40+($J$57-$J$2)/BinDivisor</f>
        <v>27.4909090909091</v>
      </c>
      <c r="K41" s="42">
        <f>COUNTIF(Vertices[Betweenness Centrality],"&gt;= "&amp;J41)-COUNTIF(Vertices[Betweenness Centrality],"&gt;="&amp;J42)</f>
        <v>0</v>
      </c>
      <c r="L41" s="41">
        <f aca="true" t="shared" si="14" ref="L41:L56">L40+($L$57-$L$2)/BinDivisor</f>
        <v>0.09530319999999987</v>
      </c>
      <c r="M41" s="42">
        <f>COUNTIF(Vertices[Closeness Centrality],"&gt;= "&amp;L41)-COUNTIF(Vertices[Closeness Centrality],"&gt;="&amp;L42)</f>
        <v>0</v>
      </c>
      <c r="N41" s="41">
        <f aca="true" t="shared" si="15" ref="N41:N56">N40+($N$57-$N$2)/BinDivisor</f>
        <v>0.111111</v>
      </c>
      <c r="O41" s="42">
        <f>COUNTIF(Vertices[Eigenvector Centrality],"&gt;= "&amp;N41)-COUNTIF(Vertices[Eigenvector Centrality],"&gt;="&amp;N42)</f>
        <v>0</v>
      </c>
      <c r="P41" s="41">
        <f aca="true" t="shared" si="16" ref="P41:P56">P40+($P$57-$P$2)/BinDivisor</f>
        <v>2.3740524909090928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463</v>
      </c>
      <c r="B42" s="36" t="s">
        <v>85</v>
      </c>
      <c r="D42" s="34">
        <f t="shared" si="10"/>
        <v>0</v>
      </c>
      <c r="E42" s="3">
        <f>COUNTIF(Vertices[Degree],"&gt;= "&amp;D42)-COUNTIF(Vertices[Degree],"&gt;="&amp;D43)</f>
        <v>0</v>
      </c>
      <c r="F42" s="39">
        <f t="shared" si="11"/>
        <v>0.5090909090909091</v>
      </c>
      <c r="G42" s="40">
        <f>COUNTIF(Vertices[In-Degree],"&gt;= "&amp;F42)-COUNTIF(Vertices[In-Degree],"&gt;="&amp;F43)</f>
        <v>0</v>
      </c>
      <c r="H42" s="39">
        <f t="shared" si="12"/>
        <v>4.072727272727273</v>
      </c>
      <c r="I42" s="40">
        <f>COUNTIF(Vertices[Out-Degree],"&gt;= "&amp;H42)-COUNTIF(Vertices[Out-Degree],"&gt;="&amp;H43)</f>
        <v>0</v>
      </c>
      <c r="J42" s="39">
        <f t="shared" si="13"/>
        <v>28.50909090909092</v>
      </c>
      <c r="K42" s="40">
        <f>COUNTIF(Vertices[Betweenness Centrality],"&gt;= "&amp;J42)-COUNTIF(Vertices[Betweenness Centrality],"&gt;="&amp;J43)</f>
        <v>0</v>
      </c>
      <c r="L42" s="39">
        <f t="shared" si="14"/>
        <v>0.09636379999999986</v>
      </c>
      <c r="M42" s="40">
        <f>COUNTIF(Vertices[Closeness Centrality],"&gt;= "&amp;L42)-COUNTIF(Vertices[Closeness Centrality],"&gt;="&amp;L43)</f>
        <v>0</v>
      </c>
      <c r="N42" s="39">
        <f t="shared" si="15"/>
        <v>0.111111</v>
      </c>
      <c r="O42" s="40">
        <f>COUNTIF(Vertices[Eigenvector Centrality],"&gt;= "&amp;N42)-COUNTIF(Vertices[Eigenvector Centrality],"&gt;="&amp;N43)</f>
        <v>0</v>
      </c>
      <c r="P42" s="39">
        <f t="shared" si="16"/>
        <v>2.439834509090911</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0.5272727272727273</v>
      </c>
      <c r="G43" s="42">
        <f>COUNTIF(Vertices[In-Degree],"&gt;= "&amp;F43)-COUNTIF(Vertices[In-Degree],"&gt;="&amp;F44)</f>
        <v>0</v>
      </c>
      <c r="H43" s="41">
        <f t="shared" si="12"/>
        <v>4.218181818181819</v>
      </c>
      <c r="I43" s="42">
        <f>COUNTIF(Vertices[Out-Degree],"&gt;= "&amp;H43)-COUNTIF(Vertices[Out-Degree],"&gt;="&amp;H44)</f>
        <v>0</v>
      </c>
      <c r="J43" s="41">
        <f t="shared" si="13"/>
        <v>29.527272727272738</v>
      </c>
      <c r="K43" s="42">
        <f>COUNTIF(Vertices[Betweenness Centrality],"&gt;= "&amp;J43)-COUNTIF(Vertices[Betweenness Centrality],"&gt;="&amp;J44)</f>
        <v>0</v>
      </c>
      <c r="L43" s="41">
        <f t="shared" si="14"/>
        <v>0.09742439999999986</v>
      </c>
      <c r="M43" s="42">
        <f>COUNTIF(Vertices[Closeness Centrality],"&gt;= "&amp;L43)-COUNTIF(Vertices[Closeness Centrality],"&gt;="&amp;L44)</f>
        <v>0</v>
      </c>
      <c r="N43" s="41">
        <f t="shared" si="15"/>
        <v>0.111111</v>
      </c>
      <c r="O43" s="42">
        <f>COUNTIF(Vertices[Eigenvector Centrality],"&gt;= "&amp;N43)-COUNTIF(Vertices[Eigenvector Centrality],"&gt;="&amp;N44)</f>
        <v>0</v>
      </c>
      <c r="P43" s="41">
        <f t="shared" si="16"/>
        <v>2.5056165272727293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4.363636363636364</v>
      </c>
      <c r="I44" s="40">
        <f>COUNTIF(Vertices[Out-Degree],"&gt;= "&amp;H44)-COUNTIF(Vertices[Out-Degree],"&gt;="&amp;H45)</f>
        <v>0</v>
      </c>
      <c r="J44" s="39">
        <f t="shared" si="13"/>
        <v>30.545454545454557</v>
      </c>
      <c r="K44" s="40">
        <f>COUNTIF(Vertices[Betweenness Centrality],"&gt;= "&amp;J44)-COUNTIF(Vertices[Betweenness Centrality],"&gt;="&amp;J45)</f>
        <v>0</v>
      </c>
      <c r="L44" s="39">
        <f t="shared" si="14"/>
        <v>0.09848499999999985</v>
      </c>
      <c r="M44" s="40">
        <f>COUNTIF(Vertices[Closeness Centrality],"&gt;= "&amp;L44)-COUNTIF(Vertices[Closeness Centrality],"&gt;="&amp;L45)</f>
        <v>0</v>
      </c>
      <c r="N44" s="39">
        <f t="shared" si="15"/>
        <v>0.111111</v>
      </c>
      <c r="O44" s="40">
        <f>COUNTIF(Vertices[Eigenvector Centrality],"&gt;= "&amp;N44)-COUNTIF(Vertices[Eigenvector Centrality],"&gt;="&amp;N45)</f>
        <v>0</v>
      </c>
      <c r="P44" s="39">
        <f t="shared" si="16"/>
        <v>2.5713985454545476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0.5636363636363637</v>
      </c>
      <c r="G45" s="42">
        <f>COUNTIF(Vertices[In-Degree],"&gt;= "&amp;F45)-COUNTIF(Vertices[In-Degree],"&gt;="&amp;F46)</f>
        <v>0</v>
      </c>
      <c r="H45" s="41">
        <f t="shared" si="12"/>
        <v>4.50909090909091</v>
      </c>
      <c r="I45" s="42">
        <f>COUNTIF(Vertices[Out-Degree],"&gt;= "&amp;H45)-COUNTIF(Vertices[Out-Degree],"&gt;="&amp;H46)</f>
        <v>0</v>
      </c>
      <c r="J45" s="41">
        <f t="shared" si="13"/>
        <v>31.563636363636377</v>
      </c>
      <c r="K45" s="42">
        <f>COUNTIF(Vertices[Betweenness Centrality],"&gt;= "&amp;J45)-COUNTIF(Vertices[Betweenness Centrality],"&gt;="&amp;J46)</f>
        <v>0</v>
      </c>
      <c r="L45" s="41">
        <f t="shared" si="14"/>
        <v>0.09954559999999985</v>
      </c>
      <c r="M45" s="42">
        <f>COUNTIF(Vertices[Closeness Centrality],"&gt;= "&amp;L45)-COUNTIF(Vertices[Closeness Centrality],"&gt;="&amp;L46)</f>
        <v>0</v>
      </c>
      <c r="N45" s="41">
        <f t="shared" si="15"/>
        <v>0.111111</v>
      </c>
      <c r="O45" s="42">
        <f>COUNTIF(Vertices[Eigenvector Centrality],"&gt;= "&amp;N45)-COUNTIF(Vertices[Eigenvector Centrality],"&gt;="&amp;N46)</f>
        <v>0</v>
      </c>
      <c r="P45" s="41">
        <f t="shared" si="16"/>
        <v>2.637180563636366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0.5818181818181819</v>
      </c>
      <c r="G46" s="40">
        <f>COUNTIF(Vertices[In-Degree],"&gt;= "&amp;F46)-COUNTIF(Vertices[In-Degree],"&gt;="&amp;F47)</f>
        <v>0</v>
      </c>
      <c r="H46" s="39">
        <f t="shared" si="12"/>
        <v>4.654545454545455</v>
      </c>
      <c r="I46" s="40">
        <f>COUNTIF(Vertices[Out-Degree],"&gt;= "&amp;H46)-COUNTIF(Vertices[Out-Degree],"&gt;="&amp;H47)</f>
        <v>0</v>
      </c>
      <c r="J46" s="39">
        <f t="shared" si="13"/>
        <v>32.58181818181819</v>
      </c>
      <c r="K46" s="40">
        <f>COUNTIF(Vertices[Betweenness Centrality],"&gt;= "&amp;J46)-COUNTIF(Vertices[Betweenness Centrality],"&gt;="&amp;J47)</f>
        <v>0</v>
      </c>
      <c r="L46" s="39">
        <f t="shared" si="14"/>
        <v>0.10060619999999984</v>
      </c>
      <c r="M46" s="40">
        <f>COUNTIF(Vertices[Closeness Centrality],"&gt;= "&amp;L46)-COUNTIF(Vertices[Closeness Centrality],"&gt;="&amp;L47)</f>
        <v>0</v>
      </c>
      <c r="N46" s="39">
        <f t="shared" si="15"/>
        <v>0.111111</v>
      </c>
      <c r="O46" s="40">
        <f>COUNTIF(Vertices[Eigenvector Centrality],"&gt;= "&amp;N46)-COUNTIF(Vertices[Eigenvector Centrality],"&gt;="&amp;N47)</f>
        <v>0</v>
      </c>
      <c r="P46" s="39">
        <f t="shared" si="16"/>
        <v>2.702962581818184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4.800000000000001</v>
      </c>
      <c r="I47" s="42">
        <f>COUNTIF(Vertices[Out-Degree],"&gt;= "&amp;H47)-COUNTIF(Vertices[Out-Degree],"&gt;="&amp;H48)</f>
        <v>0</v>
      </c>
      <c r="J47" s="41">
        <f t="shared" si="13"/>
        <v>33.60000000000001</v>
      </c>
      <c r="K47" s="42">
        <f>COUNTIF(Vertices[Betweenness Centrality],"&gt;= "&amp;J47)-COUNTIF(Vertices[Betweenness Centrality],"&gt;="&amp;J48)</f>
        <v>0</v>
      </c>
      <c r="L47" s="41">
        <f t="shared" si="14"/>
        <v>0.10166679999999984</v>
      </c>
      <c r="M47" s="42">
        <f>COUNTIF(Vertices[Closeness Centrality],"&gt;= "&amp;L47)-COUNTIF(Vertices[Closeness Centrality],"&gt;="&amp;L48)</f>
        <v>0</v>
      </c>
      <c r="N47" s="41">
        <f t="shared" si="15"/>
        <v>0.111111</v>
      </c>
      <c r="O47" s="42">
        <f>COUNTIF(Vertices[Eigenvector Centrality],"&gt;= "&amp;N47)-COUNTIF(Vertices[Eigenvector Centrality],"&gt;="&amp;N48)</f>
        <v>0</v>
      </c>
      <c r="P47" s="41">
        <f t="shared" si="16"/>
        <v>2.7687446000000024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4.945454545454546</v>
      </c>
      <c r="I48" s="40">
        <f>COUNTIF(Vertices[Out-Degree],"&gt;= "&amp;H48)-COUNTIF(Vertices[Out-Degree],"&gt;="&amp;H49)</f>
        <v>0</v>
      </c>
      <c r="J48" s="39">
        <f t="shared" si="13"/>
        <v>34.618181818181824</v>
      </c>
      <c r="K48" s="40">
        <f>COUNTIF(Vertices[Betweenness Centrality],"&gt;= "&amp;J48)-COUNTIF(Vertices[Betweenness Centrality],"&gt;="&amp;J49)</f>
        <v>0</v>
      </c>
      <c r="L48" s="39">
        <f t="shared" si="14"/>
        <v>0.10272739999999983</v>
      </c>
      <c r="M48" s="40">
        <f>COUNTIF(Vertices[Closeness Centrality],"&gt;= "&amp;L48)-COUNTIF(Vertices[Closeness Centrality],"&gt;="&amp;L49)</f>
        <v>0</v>
      </c>
      <c r="N48" s="39">
        <f t="shared" si="15"/>
        <v>0.111111</v>
      </c>
      <c r="O48" s="40">
        <f>COUNTIF(Vertices[Eigenvector Centrality],"&gt;= "&amp;N48)-COUNTIF(Vertices[Eigenvector Centrality],"&gt;="&amp;N49)</f>
        <v>0</v>
      </c>
      <c r="P48" s="39">
        <f t="shared" si="16"/>
        <v>2.8345266181818207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5.090909090909092</v>
      </c>
      <c r="I49" s="42">
        <f>COUNTIF(Vertices[Out-Degree],"&gt;= "&amp;H49)-COUNTIF(Vertices[Out-Degree],"&gt;="&amp;H50)</f>
        <v>0</v>
      </c>
      <c r="J49" s="41">
        <f t="shared" si="13"/>
        <v>35.63636363636364</v>
      </c>
      <c r="K49" s="42">
        <f>COUNTIF(Vertices[Betweenness Centrality],"&gt;= "&amp;J49)-COUNTIF(Vertices[Betweenness Centrality],"&gt;="&amp;J50)</f>
        <v>0</v>
      </c>
      <c r="L49" s="41">
        <f t="shared" si="14"/>
        <v>0.10378799999999982</v>
      </c>
      <c r="M49" s="42">
        <f>COUNTIF(Vertices[Closeness Centrality],"&gt;= "&amp;L49)-COUNTIF(Vertices[Closeness Centrality],"&gt;="&amp;L50)</f>
        <v>0</v>
      </c>
      <c r="N49" s="41">
        <f t="shared" si="15"/>
        <v>0.111111</v>
      </c>
      <c r="O49" s="42">
        <f>COUNTIF(Vertices[Eigenvector Centrality],"&gt;= "&amp;N49)-COUNTIF(Vertices[Eigenvector Centrality],"&gt;="&amp;N50)</f>
        <v>0</v>
      </c>
      <c r="P49" s="41">
        <f t="shared" si="16"/>
        <v>2.900308636363639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5.236363636363637</v>
      </c>
      <c r="I50" s="40">
        <f>COUNTIF(Vertices[Out-Degree],"&gt;= "&amp;H50)-COUNTIF(Vertices[Out-Degree],"&gt;="&amp;H51)</f>
        <v>0</v>
      </c>
      <c r="J50" s="39">
        <f t="shared" si="13"/>
        <v>36.654545454545456</v>
      </c>
      <c r="K50" s="40">
        <f>COUNTIF(Vertices[Betweenness Centrality],"&gt;= "&amp;J50)-COUNTIF(Vertices[Betweenness Centrality],"&gt;="&amp;J51)</f>
        <v>0</v>
      </c>
      <c r="L50" s="39">
        <f t="shared" si="14"/>
        <v>0.10484859999999982</v>
      </c>
      <c r="M50" s="40">
        <f>COUNTIF(Vertices[Closeness Centrality],"&gt;= "&amp;L50)-COUNTIF(Vertices[Closeness Centrality],"&gt;="&amp;L51)</f>
        <v>0</v>
      </c>
      <c r="N50" s="39">
        <f t="shared" si="15"/>
        <v>0.111111</v>
      </c>
      <c r="O50" s="40">
        <f>COUNTIF(Vertices[Eigenvector Centrality],"&gt;= "&amp;N50)-COUNTIF(Vertices[Eigenvector Centrality],"&gt;="&amp;N51)</f>
        <v>0</v>
      </c>
      <c r="P50" s="39">
        <f t="shared" si="16"/>
        <v>2.9660906545454573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5.381818181818183</v>
      </c>
      <c r="I51" s="42">
        <f>COUNTIF(Vertices[Out-Degree],"&gt;= "&amp;H51)-COUNTIF(Vertices[Out-Degree],"&gt;="&amp;H52)</f>
        <v>0</v>
      </c>
      <c r="J51" s="41">
        <f t="shared" si="13"/>
        <v>37.67272727272727</v>
      </c>
      <c r="K51" s="42">
        <f>COUNTIF(Vertices[Betweenness Centrality],"&gt;= "&amp;J51)-COUNTIF(Vertices[Betweenness Centrality],"&gt;="&amp;J52)</f>
        <v>0</v>
      </c>
      <c r="L51" s="41">
        <f t="shared" si="14"/>
        <v>0.10590919999999981</v>
      </c>
      <c r="M51" s="42">
        <f>COUNTIF(Vertices[Closeness Centrality],"&gt;= "&amp;L51)-COUNTIF(Vertices[Closeness Centrality],"&gt;="&amp;L52)</f>
        <v>0</v>
      </c>
      <c r="N51" s="41">
        <f t="shared" si="15"/>
        <v>0.111111</v>
      </c>
      <c r="O51" s="42">
        <f>COUNTIF(Vertices[Eigenvector Centrality],"&gt;= "&amp;N51)-COUNTIF(Vertices[Eigenvector Centrality],"&gt;="&amp;N52)</f>
        <v>0</v>
      </c>
      <c r="P51" s="41">
        <f t="shared" si="16"/>
        <v>3.0318726727272756</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5.527272727272728</v>
      </c>
      <c r="I52" s="40">
        <f>COUNTIF(Vertices[Out-Degree],"&gt;= "&amp;H52)-COUNTIF(Vertices[Out-Degree],"&gt;="&amp;H53)</f>
        <v>0</v>
      </c>
      <c r="J52" s="39">
        <f t="shared" si="13"/>
        <v>38.69090909090909</v>
      </c>
      <c r="K52" s="40">
        <f>COUNTIF(Vertices[Betweenness Centrality],"&gt;= "&amp;J52)-COUNTIF(Vertices[Betweenness Centrality],"&gt;="&amp;J53)</f>
        <v>0</v>
      </c>
      <c r="L52" s="39">
        <f t="shared" si="14"/>
        <v>0.10696979999999981</v>
      </c>
      <c r="M52" s="40">
        <f>COUNTIF(Vertices[Closeness Centrality],"&gt;= "&amp;L52)-COUNTIF(Vertices[Closeness Centrality],"&gt;="&amp;L53)</f>
        <v>0</v>
      </c>
      <c r="N52" s="39">
        <f t="shared" si="15"/>
        <v>0.111111</v>
      </c>
      <c r="O52" s="40">
        <f>COUNTIF(Vertices[Eigenvector Centrality],"&gt;= "&amp;N52)-COUNTIF(Vertices[Eigenvector Centrality],"&gt;="&amp;N53)</f>
        <v>0</v>
      </c>
      <c r="P52" s="39">
        <f t="shared" si="16"/>
        <v>3.097654690909094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5.672727272727274</v>
      </c>
      <c r="I53" s="42">
        <f>COUNTIF(Vertices[Out-Degree],"&gt;= "&amp;H53)-COUNTIF(Vertices[Out-Degree],"&gt;="&amp;H54)</f>
        <v>0</v>
      </c>
      <c r="J53" s="41">
        <f t="shared" si="13"/>
        <v>39.709090909090904</v>
      </c>
      <c r="K53" s="42">
        <f>COUNTIF(Vertices[Betweenness Centrality],"&gt;= "&amp;J53)-COUNTIF(Vertices[Betweenness Centrality],"&gt;="&amp;J54)</f>
        <v>0</v>
      </c>
      <c r="L53" s="41">
        <f t="shared" si="14"/>
        <v>0.1080303999999998</v>
      </c>
      <c r="M53" s="42">
        <f>COUNTIF(Vertices[Closeness Centrality],"&gt;= "&amp;L53)-COUNTIF(Vertices[Closeness Centrality],"&gt;="&amp;L54)</f>
        <v>0</v>
      </c>
      <c r="N53" s="41">
        <f t="shared" si="15"/>
        <v>0.111111</v>
      </c>
      <c r="O53" s="42">
        <f>COUNTIF(Vertices[Eigenvector Centrality],"&gt;= "&amp;N53)-COUNTIF(Vertices[Eigenvector Centrality],"&gt;="&amp;N54)</f>
        <v>0</v>
      </c>
      <c r="P53" s="41">
        <f t="shared" si="16"/>
        <v>3.163436709090912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5.818181818181819</v>
      </c>
      <c r="I54" s="40">
        <f>COUNTIF(Vertices[Out-Degree],"&gt;= "&amp;H54)-COUNTIF(Vertices[Out-Degree],"&gt;="&amp;H55)</f>
        <v>0</v>
      </c>
      <c r="J54" s="39">
        <f t="shared" si="13"/>
        <v>40.72727272727272</v>
      </c>
      <c r="K54" s="40">
        <f>COUNTIF(Vertices[Betweenness Centrality],"&gt;= "&amp;J54)-COUNTIF(Vertices[Betweenness Centrality],"&gt;="&amp;J55)</f>
        <v>0</v>
      </c>
      <c r="L54" s="39">
        <f t="shared" si="14"/>
        <v>0.1090909999999998</v>
      </c>
      <c r="M54" s="40">
        <f>COUNTIF(Vertices[Closeness Centrality],"&gt;= "&amp;L54)-COUNTIF(Vertices[Closeness Centrality],"&gt;="&amp;L55)</f>
        <v>0</v>
      </c>
      <c r="N54" s="39">
        <f t="shared" si="15"/>
        <v>0.111111</v>
      </c>
      <c r="O54" s="40">
        <f>COUNTIF(Vertices[Eigenvector Centrality],"&gt;= "&amp;N54)-COUNTIF(Vertices[Eigenvector Centrality],"&gt;="&amp;N55)</f>
        <v>0</v>
      </c>
      <c r="P54" s="39">
        <f t="shared" si="16"/>
        <v>3.2292187272727304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0.7454545454545456</v>
      </c>
      <c r="G55" s="42">
        <f>COUNTIF(Vertices[In-Degree],"&gt;= "&amp;F55)-COUNTIF(Vertices[In-Degree],"&gt;="&amp;F56)</f>
        <v>0</v>
      </c>
      <c r="H55" s="41">
        <f t="shared" si="12"/>
        <v>5.963636363636365</v>
      </c>
      <c r="I55" s="42">
        <f>COUNTIF(Vertices[Out-Degree],"&gt;= "&amp;H55)-COUNTIF(Vertices[Out-Degree],"&gt;="&amp;H56)</f>
        <v>0</v>
      </c>
      <c r="J55" s="41">
        <f t="shared" si="13"/>
        <v>41.745454545454535</v>
      </c>
      <c r="K55" s="42">
        <f>COUNTIF(Vertices[Betweenness Centrality],"&gt;= "&amp;J55)-COUNTIF(Vertices[Betweenness Centrality],"&gt;="&amp;J56)</f>
        <v>0</v>
      </c>
      <c r="L55" s="41">
        <f t="shared" si="14"/>
        <v>0.1101515999999998</v>
      </c>
      <c r="M55" s="42">
        <f>COUNTIF(Vertices[Closeness Centrality],"&gt;= "&amp;L55)-COUNTIF(Vertices[Closeness Centrality],"&gt;="&amp;L56)</f>
        <v>0</v>
      </c>
      <c r="N55" s="41">
        <f t="shared" si="15"/>
        <v>0.111111</v>
      </c>
      <c r="O55" s="42">
        <f>COUNTIF(Vertices[Eigenvector Centrality],"&gt;= "&amp;N55)-COUNTIF(Vertices[Eigenvector Centrality],"&gt;="&amp;N56)</f>
        <v>0</v>
      </c>
      <c r="P55" s="41">
        <f t="shared" si="16"/>
        <v>3.2950007454545487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0.7636363636363638</v>
      </c>
      <c r="G56" s="40">
        <f>COUNTIF(Vertices[In-Degree],"&gt;= "&amp;F56)-COUNTIF(Vertices[In-Degree],"&gt;="&amp;F57)</f>
        <v>0</v>
      </c>
      <c r="H56" s="39">
        <f t="shared" si="12"/>
        <v>6.10909090909091</v>
      </c>
      <c r="I56" s="40">
        <f>COUNTIF(Vertices[Out-Degree],"&gt;= "&amp;H56)-COUNTIF(Vertices[Out-Degree],"&gt;="&amp;H57)</f>
        <v>0</v>
      </c>
      <c r="J56" s="39">
        <f t="shared" si="13"/>
        <v>42.76363636363635</v>
      </c>
      <c r="K56" s="40">
        <f>COUNTIF(Vertices[Betweenness Centrality],"&gt;= "&amp;J56)-COUNTIF(Vertices[Betweenness Centrality],"&gt;="&amp;J57)</f>
        <v>0</v>
      </c>
      <c r="L56" s="39">
        <f t="shared" si="14"/>
        <v>0.11121219999999979</v>
      </c>
      <c r="M56" s="40">
        <f>COUNTIF(Vertices[Closeness Centrality],"&gt;= "&amp;L56)-COUNTIF(Vertices[Closeness Centrality],"&gt;="&amp;L57)</f>
        <v>0</v>
      </c>
      <c r="N56" s="39">
        <f t="shared" si="15"/>
        <v>0.111111</v>
      </c>
      <c r="O56" s="40">
        <f>COUNTIF(Vertices[Eigenvector Centrality],"&gt;= "&amp;N56)-COUNTIF(Vertices[Eigenvector Centrality],"&gt;="&amp;N57)</f>
        <v>0</v>
      </c>
      <c r="P56" s="39">
        <f t="shared" si="16"/>
        <v>3.360782763636367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1</v>
      </c>
      <c r="G57" s="44">
        <f>COUNTIF(Vertices[In-Degree],"&gt;= "&amp;F57)-COUNTIF(Vertices[In-Degree],"&gt;="&amp;F58)</f>
        <v>8</v>
      </c>
      <c r="H57" s="43">
        <f>MAX(Vertices[Out-Degree])</f>
        <v>8</v>
      </c>
      <c r="I57" s="44">
        <f>COUNTIF(Vertices[Out-Degree],"&gt;= "&amp;H57)-COUNTIF(Vertices[Out-Degree],"&gt;="&amp;H58)</f>
        <v>1</v>
      </c>
      <c r="J57" s="43">
        <f>MAX(Vertices[Betweenness Centrality])</f>
        <v>56</v>
      </c>
      <c r="K57" s="44">
        <f>COUNTIF(Vertices[Betweenness Centrality],"&gt;= "&amp;J57)-COUNTIF(Vertices[Betweenness Centrality],"&gt;="&amp;J58)</f>
        <v>1</v>
      </c>
      <c r="L57" s="43">
        <f>MAX(Vertices[Closeness Centrality])</f>
        <v>0.125</v>
      </c>
      <c r="M57" s="44">
        <f>COUNTIF(Vertices[Closeness Centrality],"&gt;= "&amp;L57)-COUNTIF(Vertices[Closeness Centrality],"&gt;="&amp;L58)</f>
        <v>1</v>
      </c>
      <c r="N57" s="43">
        <f>MAX(Vertices[Eigenvector Centrality])</f>
        <v>0.111111</v>
      </c>
      <c r="O57" s="44">
        <f>COUNTIF(Vertices[Eigenvector Centrality],"&gt;= "&amp;N57)-COUNTIF(Vertices[Eigenvector Centrality],"&gt;="&amp;N58)</f>
        <v>9</v>
      </c>
      <c r="P57" s="43">
        <f>MAX(Vertices[PageRank])</f>
        <v>4.215949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1</v>
      </c>
    </row>
    <row r="73" spans="1:2" ht="15">
      <c r="A73" s="35" t="s">
        <v>90</v>
      </c>
      <c r="B73" s="49">
        <f>_xlfn.IFERROR(AVERAGE(Vertices[In-Degree]),NoMetricMessage)</f>
        <v>0.8888888888888888</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8</v>
      </c>
    </row>
    <row r="87" spans="1:2" ht="15">
      <c r="A87" s="35" t="s">
        <v>96</v>
      </c>
      <c r="B87" s="49">
        <f>_xlfn.IFERROR(AVERAGE(Vertices[Out-Degree]),NoMetricMessage)</f>
        <v>0.8888888888888888</v>
      </c>
    </row>
    <row r="88" spans="1:2" ht="15">
      <c r="A88" s="35" t="s">
        <v>97</v>
      </c>
      <c r="B88" s="49">
        <f>_xlfn.IFERROR(MEDIAN(Vertices[Out-Degree]),NoMetricMessage)</f>
        <v>0</v>
      </c>
    </row>
    <row r="99" spans="1:2" ht="15">
      <c r="A99" s="35" t="s">
        <v>100</v>
      </c>
      <c r="B99" s="49">
        <f>IF(COUNT(Vertices[Betweenness Centrality])&gt;0,J2,NoMetricMessage)</f>
        <v>0</v>
      </c>
    </row>
    <row r="100" spans="1:2" ht="15">
      <c r="A100" s="35" t="s">
        <v>101</v>
      </c>
      <c r="B100" s="49">
        <f>IF(COUNT(Vertices[Betweenness Centrality])&gt;0,J57,NoMetricMessage)</f>
        <v>56</v>
      </c>
    </row>
    <row r="101" spans="1:2" ht="15">
      <c r="A101" s="35" t="s">
        <v>102</v>
      </c>
      <c r="B101" s="49">
        <f>_xlfn.IFERROR(AVERAGE(Vertices[Betweenness Centrality]),NoMetricMessage)</f>
        <v>6.222222222222222</v>
      </c>
    </row>
    <row r="102" spans="1:2" ht="15">
      <c r="A102" s="35" t="s">
        <v>103</v>
      </c>
      <c r="B102" s="49">
        <f>_xlfn.IFERROR(MEDIAN(Vertices[Betweenness Centrality]),NoMetricMessage)</f>
        <v>0</v>
      </c>
    </row>
    <row r="113" spans="1:2" ht="15">
      <c r="A113" s="35" t="s">
        <v>106</v>
      </c>
      <c r="B113" s="49">
        <f>IF(COUNT(Vertices[Closeness Centrality])&gt;0,L2,NoMetricMessage)</f>
        <v>0.066667</v>
      </c>
    </row>
    <row r="114" spans="1:2" ht="15">
      <c r="A114" s="35" t="s">
        <v>107</v>
      </c>
      <c r="B114" s="49">
        <f>IF(COUNT(Vertices[Closeness Centrality])&gt;0,L57,NoMetricMessage)</f>
        <v>0.125</v>
      </c>
    </row>
    <row r="115" spans="1:2" ht="15">
      <c r="A115" s="35" t="s">
        <v>108</v>
      </c>
      <c r="B115" s="49">
        <f>_xlfn.IFERROR(AVERAGE(Vertices[Closeness Centrality]),NoMetricMessage)</f>
        <v>0.07314844444444446</v>
      </c>
    </row>
    <row r="116" spans="1:2" ht="15">
      <c r="A116" s="35" t="s">
        <v>109</v>
      </c>
      <c r="B116" s="49">
        <f>_xlfn.IFERROR(MEDIAN(Vertices[Closeness Centrality]),NoMetricMessage)</f>
        <v>0.066667</v>
      </c>
    </row>
    <row r="127" spans="1:2" ht="15">
      <c r="A127" s="35" t="s">
        <v>112</v>
      </c>
      <c r="B127" s="49">
        <f>IF(COUNT(Vertices[Eigenvector Centrality])&gt;0,N2,NoMetricMessage)</f>
        <v>0.111111</v>
      </c>
    </row>
    <row r="128" spans="1:2" ht="15">
      <c r="A128" s="35" t="s">
        <v>113</v>
      </c>
      <c r="B128" s="49">
        <f>IF(COUNT(Vertices[Eigenvector Centrality])&gt;0,N57,NoMetricMessage)</f>
        <v>0.111111</v>
      </c>
    </row>
    <row r="129" spans="1:2" ht="15">
      <c r="A129" s="35" t="s">
        <v>114</v>
      </c>
      <c r="B129" s="49">
        <f>_xlfn.IFERROR(AVERAGE(Vertices[Eigenvector Centrality]),NoMetricMessage)</f>
        <v>0.11111099999999999</v>
      </c>
    </row>
    <row r="130" spans="1:2" ht="15">
      <c r="A130" s="35" t="s">
        <v>115</v>
      </c>
      <c r="B130" s="49">
        <f>_xlfn.IFERROR(MEDIAN(Vertices[Eigenvector Centrality]),NoMetricMessage)</f>
        <v>0.111111</v>
      </c>
    </row>
    <row r="141" spans="1:2" ht="15">
      <c r="A141" s="35" t="s">
        <v>140</v>
      </c>
      <c r="B141" s="49">
        <f>IF(COUNT(Vertices[PageRank])&gt;0,P2,NoMetricMessage)</f>
        <v>0.597938</v>
      </c>
    </row>
    <row r="142" spans="1:2" ht="15">
      <c r="A142" s="35" t="s">
        <v>141</v>
      </c>
      <c r="B142" s="49">
        <f>IF(COUNT(Vertices[PageRank])&gt;0,P57,NoMetricMessage)</f>
        <v>4.215949</v>
      </c>
    </row>
    <row r="143" spans="1:2" ht="15">
      <c r="A143" s="35" t="s">
        <v>142</v>
      </c>
      <c r="B143" s="49">
        <f>_xlfn.IFERROR(AVERAGE(Vertices[PageRank]),NoMetricMessage)</f>
        <v>0.9999392222222221</v>
      </c>
    </row>
    <row r="144" spans="1:2" ht="15">
      <c r="A144" s="35" t="s">
        <v>143</v>
      </c>
      <c r="B144" s="49">
        <f>_xlfn.IFERROR(MEDIAN(Vertices[PageRank]),NoMetricMessage)</f>
        <v>0.597938</v>
      </c>
    </row>
    <row r="155" spans="1:2" ht="15">
      <c r="A155" s="35" t="s">
        <v>118</v>
      </c>
      <c r="B155" s="49">
        <f>IF(COUNT(Vertices[Clustering Coefficient])&gt;0,R2,NoMetricMessage)</f>
        <v>0</v>
      </c>
    </row>
    <row r="156" spans="1:2" ht="15">
      <c r="A156" s="35" t="s">
        <v>119</v>
      </c>
      <c r="B156" s="49">
        <f>IF(COUNT(Vertices[Clustering Coefficient])&gt;0,R57,NoMetricMessage)</f>
        <v>0</v>
      </c>
    </row>
    <row r="157" spans="1:2" ht="15">
      <c r="A157" s="35" t="s">
        <v>120</v>
      </c>
      <c r="B157" s="49">
        <f>_xlfn.IFERROR(AVERAGE(Vertices[Clustering Coefficient]),NoMetricMessage)</f>
        <v>0</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19"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363</v>
      </c>
    </row>
    <row r="24" spans="10:11" ht="409.5">
      <c r="J24" t="s">
        <v>364</v>
      </c>
      <c r="K24" s="13" t="s">
        <v>483</v>
      </c>
    </row>
    <row r="25" spans="10:11" ht="15">
      <c r="J25" t="s">
        <v>365</v>
      </c>
      <c r="K25" t="b">
        <v>0</v>
      </c>
    </row>
    <row r="26" spans="10:11" ht="15">
      <c r="J26" t="s">
        <v>480</v>
      </c>
      <c r="K26" t="s">
        <v>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86" t="s">
        <v>372</v>
      </c>
      <c r="B1" s="86" t="s">
        <v>373</v>
      </c>
      <c r="C1" s="86" t="s">
        <v>374</v>
      </c>
      <c r="D1" s="86" t="s">
        <v>375</v>
      </c>
    </row>
    <row r="2" spans="1:4" ht="15">
      <c r="A2" s="86"/>
      <c r="B2" s="86"/>
      <c r="C2" s="86"/>
      <c r="D2" s="86"/>
    </row>
    <row r="4" spans="1:4" ht="15" customHeight="1">
      <c r="A4" s="86" t="s">
        <v>377</v>
      </c>
      <c r="B4" s="86" t="s">
        <v>373</v>
      </c>
      <c r="C4" s="86" t="s">
        <v>378</v>
      </c>
      <c r="D4" s="86" t="s">
        <v>375</v>
      </c>
    </row>
    <row r="5" spans="1:4" ht="15">
      <c r="A5" s="86"/>
      <c r="B5" s="86"/>
      <c r="C5" s="86"/>
      <c r="D5" s="86"/>
    </row>
    <row r="7" spans="1:4" ht="15" customHeight="1">
      <c r="A7" s="13" t="s">
        <v>380</v>
      </c>
      <c r="B7" s="13" t="s">
        <v>373</v>
      </c>
      <c r="C7" s="13" t="s">
        <v>381</v>
      </c>
      <c r="D7" s="13" t="s">
        <v>375</v>
      </c>
    </row>
    <row r="8" spans="1:4" ht="15">
      <c r="A8" s="86" t="s">
        <v>226</v>
      </c>
      <c r="B8" s="86">
        <v>1</v>
      </c>
      <c r="C8" s="86" t="s">
        <v>226</v>
      </c>
      <c r="D8" s="86">
        <v>1</v>
      </c>
    </row>
    <row r="11" spans="1:4" ht="15" customHeight="1">
      <c r="A11" s="13" t="s">
        <v>383</v>
      </c>
      <c r="B11" s="13" t="s">
        <v>373</v>
      </c>
      <c r="C11" s="13" t="s">
        <v>389</v>
      </c>
      <c r="D11" s="13" t="s">
        <v>375</v>
      </c>
    </row>
    <row r="12" spans="1:4" ht="15">
      <c r="A12" s="94" t="s">
        <v>384</v>
      </c>
      <c r="B12" s="94">
        <v>2</v>
      </c>
      <c r="C12" s="94" t="s">
        <v>222</v>
      </c>
      <c r="D12" s="94">
        <v>2</v>
      </c>
    </row>
    <row r="13" spans="1:4" ht="15">
      <c r="A13" s="94" t="s">
        <v>385</v>
      </c>
      <c r="B13" s="94">
        <v>0</v>
      </c>
      <c r="C13" s="94" t="s">
        <v>220</v>
      </c>
      <c r="D13" s="94">
        <v>2</v>
      </c>
    </row>
    <row r="14" spans="1:4" ht="15">
      <c r="A14" s="94" t="s">
        <v>386</v>
      </c>
      <c r="B14" s="94">
        <v>0</v>
      </c>
      <c r="C14" s="94"/>
      <c r="D14" s="94"/>
    </row>
    <row r="15" spans="1:4" ht="15">
      <c r="A15" s="94" t="s">
        <v>387</v>
      </c>
      <c r="B15" s="94">
        <v>30</v>
      </c>
      <c r="C15" s="94"/>
      <c r="D15" s="94"/>
    </row>
    <row r="16" spans="1:4" ht="15">
      <c r="A16" s="94" t="s">
        <v>388</v>
      </c>
      <c r="B16" s="94">
        <v>32</v>
      </c>
      <c r="C16" s="94"/>
      <c r="D16" s="94"/>
    </row>
    <row r="17" spans="1:4" ht="15">
      <c r="A17" s="94" t="s">
        <v>222</v>
      </c>
      <c r="B17" s="94">
        <v>2</v>
      </c>
      <c r="C17" s="94"/>
      <c r="D17" s="94"/>
    </row>
    <row r="18" spans="1:4" ht="15">
      <c r="A18" s="94" t="s">
        <v>220</v>
      </c>
      <c r="B18" s="94">
        <v>2</v>
      </c>
      <c r="C18" s="94"/>
      <c r="D18" s="94"/>
    </row>
    <row r="21" spans="1:4" ht="15" customHeight="1">
      <c r="A21" s="86" t="s">
        <v>392</v>
      </c>
      <c r="B21" s="86" t="s">
        <v>373</v>
      </c>
      <c r="C21" s="86" t="s">
        <v>393</v>
      </c>
      <c r="D21" s="86" t="s">
        <v>375</v>
      </c>
    </row>
    <row r="22" spans="1:4" ht="15">
      <c r="A22" s="86"/>
      <c r="B22" s="86"/>
      <c r="C22" s="86"/>
      <c r="D22" s="86"/>
    </row>
    <row r="24" spans="1:4" ht="15" customHeight="1">
      <c r="A24" s="13" t="s">
        <v>395</v>
      </c>
      <c r="B24" s="13" t="s">
        <v>373</v>
      </c>
      <c r="C24" s="13" t="s">
        <v>397</v>
      </c>
      <c r="D24" s="13" t="s">
        <v>375</v>
      </c>
    </row>
    <row r="25" spans="1:4" ht="15">
      <c r="A25" s="86" t="s">
        <v>222</v>
      </c>
      <c r="B25" s="86">
        <v>1</v>
      </c>
      <c r="C25" s="86" t="s">
        <v>222</v>
      </c>
      <c r="D25" s="86">
        <v>1</v>
      </c>
    </row>
    <row r="28" spans="1:4" ht="15" customHeight="1">
      <c r="A28" s="13" t="s">
        <v>396</v>
      </c>
      <c r="B28" s="13" t="s">
        <v>373</v>
      </c>
      <c r="C28" s="13" t="s">
        <v>398</v>
      </c>
      <c r="D28" s="13" t="s">
        <v>375</v>
      </c>
    </row>
    <row r="29" spans="1:4" ht="15">
      <c r="A29" s="86" t="s">
        <v>221</v>
      </c>
      <c r="B29" s="86">
        <v>1</v>
      </c>
      <c r="C29" s="86" t="s">
        <v>221</v>
      </c>
      <c r="D29" s="86">
        <v>1</v>
      </c>
    </row>
    <row r="30" spans="1:4" ht="15">
      <c r="A30" s="86" t="s">
        <v>220</v>
      </c>
      <c r="B30" s="86">
        <v>1</v>
      </c>
      <c r="C30" s="86" t="s">
        <v>220</v>
      </c>
      <c r="D30" s="86">
        <v>1</v>
      </c>
    </row>
    <row r="31" spans="1:4" ht="15">
      <c r="A31" s="86" t="s">
        <v>219</v>
      </c>
      <c r="B31" s="86">
        <v>1</v>
      </c>
      <c r="C31" s="86" t="s">
        <v>219</v>
      </c>
      <c r="D31" s="86">
        <v>1</v>
      </c>
    </row>
    <row r="32" spans="1:4" ht="15">
      <c r="A32" s="86" t="s">
        <v>218</v>
      </c>
      <c r="B32" s="86">
        <v>1</v>
      </c>
      <c r="C32" s="86" t="s">
        <v>218</v>
      </c>
      <c r="D32" s="86">
        <v>1</v>
      </c>
    </row>
    <row r="33" spans="1:4" ht="15">
      <c r="A33" s="86" t="s">
        <v>217</v>
      </c>
      <c r="B33" s="86">
        <v>1</v>
      </c>
      <c r="C33" s="86" t="s">
        <v>217</v>
      </c>
      <c r="D33" s="86">
        <v>1</v>
      </c>
    </row>
    <row r="34" spans="1:4" ht="15">
      <c r="A34" s="86" t="s">
        <v>216</v>
      </c>
      <c r="B34" s="86">
        <v>1</v>
      </c>
      <c r="C34" s="86" t="s">
        <v>216</v>
      </c>
      <c r="D34" s="86">
        <v>1</v>
      </c>
    </row>
    <row r="35" spans="1:4" ht="15">
      <c r="A35" s="86" t="s">
        <v>215</v>
      </c>
      <c r="B35" s="86">
        <v>1</v>
      </c>
      <c r="C35" s="86" t="s">
        <v>215</v>
      </c>
      <c r="D35" s="86">
        <v>1</v>
      </c>
    </row>
    <row r="38" spans="1:4" ht="15" customHeight="1">
      <c r="A38" s="13" t="s">
        <v>402</v>
      </c>
      <c r="B38" s="13" t="s">
        <v>373</v>
      </c>
      <c r="C38" s="13" t="s">
        <v>403</v>
      </c>
      <c r="D38" s="13" t="s">
        <v>375</v>
      </c>
    </row>
    <row r="39" spans="1:4" ht="15">
      <c r="A39" s="120" t="s">
        <v>222</v>
      </c>
      <c r="B39" s="86">
        <v>14203</v>
      </c>
      <c r="C39" s="120" t="s">
        <v>222</v>
      </c>
      <c r="D39" s="86">
        <v>14203</v>
      </c>
    </row>
    <row r="40" spans="1:4" ht="15">
      <c r="A40" s="120" t="s">
        <v>217</v>
      </c>
      <c r="B40" s="86">
        <v>13550</v>
      </c>
      <c r="C40" s="120" t="s">
        <v>217</v>
      </c>
      <c r="D40" s="86">
        <v>13550</v>
      </c>
    </row>
    <row r="41" spans="1:4" ht="15">
      <c r="A41" s="120" t="s">
        <v>221</v>
      </c>
      <c r="B41" s="86">
        <v>12501</v>
      </c>
      <c r="C41" s="120" t="s">
        <v>221</v>
      </c>
      <c r="D41" s="86">
        <v>12501</v>
      </c>
    </row>
    <row r="42" spans="1:4" ht="15">
      <c r="A42" s="120" t="s">
        <v>220</v>
      </c>
      <c r="B42" s="86">
        <v>10092</v>
      </c>
      <c r="C42" s="120" t="s">
        <v>220</v>
      </c>
      <c r="D42" s="86">
        <v>10092</v>
      </c>
    </row>
    <row r="43" spans="1:4" ht="15">
      <c r="A43" s="120" t="s">
        <v>219</v>
      </c>
      <c r="B43" s="86">
        <v>2055</v>
      </c>
      <c r="C43" s="120" t="s">
        <v>219</v>
      </c>
      <c r="D43" s="86">
        <v>2055</v>
      </c>
    </row>
    <row r="44" spans="1:4" ht="15">
      <c r="A44" s="120" t="s">
        <v>215</v>
      </c>
      <c r="B44" s="86">
        <v>634</v>
      </c>
      <c r="C44" s="120" t="s">
        <v>215</v>
      </c>
      <c r="D44" s="86">
        <v>634</v>
      </c>
    </row>
    <row r="45" spans="1:4" ht="15">
      <c r="A45" s="120" t="s">
        <v>218</v>
      </c>
      <c r="B45" s="86">
        <v>210</v>
      </c>
      <c r="C45" s="120" t="s">
        <v>218</v>
      </c>
      <c r="D45" s="86">
        <v>210</v>
      </c>
    </row>
    <row r="46" spans="1:4" ht="15">
      <c r="A46" s="120" t="s">
        <v>214</v>
      </c>
      <c r="B46" s="86">
        <v>93</v>
      </c>
      <c r="C46" s="120" t="s">
        <v>214</v>
      </c>
      <c r="D46" s="86">
        <v>93</v>
      </c>
    </row>
    <row r="47" spans="1:4" ht="15">
      <c r="A47" s="120" t="s">
        <v>216</v>
      </c>
      <c r="B47" s="86">
        <v>17</v>
      </c>
      <c r="C47" s="120" t="s">
        <v>216</v>
      </c>
      <c r="D47" s="86">
        <v>17</v>
      </c>
    </row>
  </sheetData>
  <printOptions/>
  <pageMargins left="0.7" right="0.7" top="0.75" bottom="0.75" header="0.3" footer="0.3"/>
  <pageSetup orientation="portrait" paperSize="9"/>
  <tableParts>
    <tablePart r:id="rId2"/>
    <tablePart r:id="rId7"/>
    <tablePart r:id="rId5"/>
    <tablePart r:id="rId8"/>
    <tablePart r:id="rId6"/>
    <tablePart r:id="rId3"/>
    <tablePart r:id="rId4"/>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418</v>
      </c>
      <c r="B1" s="13" t="s">
        <v>419</v>
      </c>
      <c r="C1" s="13" t="s">
        <v>420</v>
      </c>
      <c r="D1" s="13" t="s">
        <v>144</v>
      </c>
      <c r="E1" s="13" t="s">
        <v>422</v>
      </c>
      <c r="F1" s="13" t="s">
        <v>423</v>
      </c>
      <c r="G1" s="13" t="s">
        <v>424</v>
      </c>
    </row>
    <row r="2" spans="1:7" ht="15">
      <c r="A2" s="86" t="s">
        <v>384</v>
      </c>
      <c r="B2" s="86">
        <v>2</v>
      </c>
      <c r="C2" s="124">
        <v>0.0625</v>
      </c>
      <c r="D2" s="86" t="s">
        <v>421</v>
      </c>
      <c r="E2" s="86"/>
      <c r="F2" s="86"/>
      <c r="G2" s="86"/>
    </row>
    <row r="3" spans="1:7" ht="15">
      <c r="A3" s="86" t="s">
        <v>385</v>
      </c>
      <c r="B3" s="86">
        <v>0</v>
      </c>
      <c r="C3" s="124">
        <v>0</v>
      </c>
      <c r="D3" s="86" t="s">
        <v>421</v>
      </c>
      <c r="E3" s="86"/>
      <c r="F3" s="86"/>
      <c r="G3" s="86"/>
    </row>
    <row r="4" spans="1:7" ht="15">
      <c r="A4" s="86" t="s">
        <v>386</v>
      </c>
      <c r="B4" s="86">
        <v>0</v>
      </c>
      <c r="C4" s="124">
        <v>0</v>
      </c>
      <c r="D4" s="86" t="s">
        <v>421</v>
      </c>
      <c r="E4" s="86"/>
      <c r="F4" s="86"/>
      <c r="G4" s="86"/>
    </row>
    <row r="5" spans="1:7" ht="15">
      <c r="A5" s="86" t="s">
        <v>387</v>
      </c>
      <c r="B5" s="86">
        <v>30</v>
      </c>
      <c r="C5" s="124">
        <v>0.9375</v>
      </c>
      <c r="D5" s="86" t="s">
        <v>421</v>
      </c>
      <c r="E5" s="86"/>
      <c r="F5" s="86"/>
      <c r="G5" s="86"/>
    </row>
    <row r="6" spans="1:7" ht="15">
      <c r="A6" s="86" t="s">
        <v>388</v>
      </c>
      <c r="B6" s="86">
        <v>32</v>
      </c>
      <c r="C6" s="124">
        <v>1</v>
      </c>
      <c r="D6" s="86" t="s">
        <v>421</v>
      </c>
      <c r="E6" s="86"/>
      <c r="F6" s="86"/>
      <c r="G6" s="86"/>
    </row>
    <row r="7" spans="1:7" ht="15">
      <c r="A7" s="94" t="s">
        <v>222</v>
      </c>
      <c r="B7" s="94">
        <v>2</v>
      </c>
      <c r="C7" s="125">
        <v>0</v>
      </c>
      <c r="D7" s="94" t="s">
        <v>421</v>
      </c>
      <c r="E7" s="94" t="b">
        <v>0</v>
      </c>
      <c r="F7" s="94" t="b">
        <v>0</v>
      </c>
      <c r="G7" s="94" t="b">
        <v>0</v>
      </c>
    </row>
    <row r="8" spans="1:7" ht="15">
      <c r="A8" s="94" t="s">
        <v>220</v>
      </c>
      <c r="B8" s="94">
        <v>2</v>
      </c>
      <c r="C8" s="125">
        <v>0</v>
      </c>
      <c r="D8" s="94" t="s">
        <v>421</v>
      </c>
      <c r="E8" s="94" t="b">
        <v>0</v>
      </c>
      <c r="F8" s="94" t="b">
        <v>0</v>
      </c>
      <c r="G8" s="94" t="b">
        <v>0</v>
      </c>
    </row>
    <row r="9" spans="1:7" ht="15">
      <c r="A9" s="94" t="s">
        <v>222</v>
      </c>
      <c r="B9" s="94">
        <v>2</v>
      </c>
      <c r="C9" s="125">
        <v>0</v>
      </c>
      <c r="D9" s="94" t="s">
        <v>367</v>
      </c>
      <c r="E9" s="94" t="b">
        <v>0</v>
      </c>
      <c r="F9" s="94" t="b">
        <v>0</v>
      </c>
      <c r="G9" s="94" t="b">
        <v>0</v>
      </c>
    </row>
    <row r="10" spans="1:7" ht="15">
      <c r="A10" s="94" t="s">
        <v>220</v>
      </c>
      <c r="B10" s="94">
        <v>2</v>
      </c>
      <c r="C10" s="125">
        <v>0</v>
      </c>
      <c r="D10" s="94" t="s">
        <v>367</v>
      </c>
      <c r="E10" s="94" t="b">
        <v>0</v>
      </c>
      <c r="F10" s="94" t="b">
        <v>0</v>
      </c>
      <c r="G10"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2019-11-16T14:10:48Z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