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<sst xmlns="http://schemas.openxmlformats.org/spreadsheetml/2006/main" count="821" uniqueCount="442">
  <si>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</si>
  <si>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</si>
  <si>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</si>
  <si>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</si>
  <si>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</si>
  <si>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</si>
  <si>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</si>
  <si>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</si>
  <si>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</si>
  <si>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</si>
  <si>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</si>
  <si>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</si>
  <si>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</si>
  <si>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</si>
  <si>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</si>
  <si>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</si>
  <si>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</si>
  <si>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</si>
  <si>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</si>
  <si>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</si>
  <si>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</si>
  <si>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</si>
  <si>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</si>
  <si>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</si>
  <si>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</si>
  <si>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</si>
  <si>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</si>
  <si>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</si>
  <si>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</si>
  <si>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</si>
  <si>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</si>
  <si>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</si>
  <si>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</si>
  <si>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</si>
  <si>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</si>
  <si>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</si>
  <si>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</si>
  <si>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</si>
  <si>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</si>
  <si>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</si>
  <si>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</si>
  <si>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</si>
  <si>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</si>
  <si>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</si>
  <si>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</si>
  <si>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</si>
  <si>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</si>
  <si>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</si>
  <si>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</si>
  <si>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</si>
  <si>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</si>
  <si>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</si>
  <si>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</si>
  <si>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</si>
  <si>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</si>
  <si>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</si>
  <si>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</si>
  <si>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</si>
  <si>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</si>
  <si>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</si>
  <si>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</si>
  <si>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</si>
  <si>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</si>
  <si>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</si>
  <si>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</si>
  <si>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</si>
  <si>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</si>
  <si>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</si>
  <si>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</si>
  <si>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</si>
  <si>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</si>
  <si>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</si>
  <si>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</si>
  <si>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</si>
  <si>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</si>
  <si>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</si>
  <si>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</si>
  <si>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</si>
  <si>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</si>
  <si>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</si>
  <si>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</si>
  <si>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</si>
  <si>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</si>
  <si>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</si>
  <si>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</si>
  <si>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</si>
  <si>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</si>
  <si>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</si>
  <si>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</si>
  <si>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</si>
  <si>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</si>
  <si>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</si>
  <si>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</si>
  <si>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</si>
  <si>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</si>
  <si>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</si>
  <si>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</si>
  <si>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</si>
  <si>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</si>
  <si>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</si>
  <si>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</si>
  <si>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</si>
  <si>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</si>
  <si>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</si>
  <si>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</si>
  <si>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</si>
  <si>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</si>
  <si>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</si>
  <si>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</si>
  <si>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</si>
  <si>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</si>
  <si>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</si>
  <si>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</si>
  <si>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</si>
  <si>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</si>
  <si>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</si>
  <si>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</si>
  <si>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</si>
  <si>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</si>
  <si>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</si>
  <si>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</si>
  <si>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</si>
  <si>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</si>
  <si>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</si>
  <si>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</si>
  <si>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</si>
  <si>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</si>
  <si>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</si>
  <si>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</si>
  <si>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</si>
  <si>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</si>
  <si>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</si>
  <si>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</si>
  <si>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</si>
  <si>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</si>
  <si>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</si>
  <si>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</si>
  <si>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</si>
  <si>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</si>
  <si>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</si>
  <si>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</si>
  <si>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</si>
  <si>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</si>
  <si>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</si>
  <si>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</si>
  <si>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</si>
  <si>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</si>
  <si>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</si>
  <si>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</si>
  <si>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</si>
  <si>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</si>
  <si>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</si>
  <si>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</si>
  <si>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</si>
  <si>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</si>
  <si>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</si>
  <si>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</si>
  <si>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</si>
  <si>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</si>
  <si>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</si>
  <si>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</si>
  <si>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</si>
  <si>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</si>
  <si>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</si>
  <si>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</si>
  <si>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</si>
  <si>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</si>
  <si>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</si>
  <si>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</si>
  <si>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</si>
  <si>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</si>
  <si>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</si>
  <si>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</si>
  <si>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</si>
  <si>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</si>
  <si>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</si>
  <si>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</si>
  <si>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</si>
  <si>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</si>
  <si>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</si>
  <si>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</si>
  <si>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</si>
  <si>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</si>
  <si>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</si>
  <si>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</si>
  <si>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</si>
  <si>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</si>
  <si>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</si>
  <si>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</si>
  <si>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</si>
  <si>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</si>
  <si>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</si>
  <si>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</si>
  <si>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</si>
  <si>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</si>
  <si>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</si>
  <si>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</si>
  <si>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</si>
  <si>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</si>
  <si>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</si>
  <si>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</si>
  <si>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</si>
  <si>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</si>
  <si>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</si>
  <si>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</si>
  <si>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</si>
  <si>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</si>
  <si>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</si>
  <si>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</si>
  <si>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</si>
  <si>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</si>
  <si>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</si>
  <si>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elizarovaranchi</t>
  </si>
  <si>
    <t>bablu31422473</t>
  </si>
  <si>
    <t>Mentions</t>
  </si>
  <si>
    <t>Nice blo update
https://t.co/3DuRlgVPwz
#ranchiescorts #ranchiescort #ranchiindependentescorts #ranchicallgirls http://t.co/spBfftUsGZ</t>
  </si>
  <si>
    <t>RT @elizarovaranchi: Nice blo update
https://t.co/3DuRlgVPwz
#ranchiescorts #ranchiescort #ranchiindependentescorts #ranchicallgirls http:/…</t>
  </si>
  <si>
    <t>https://www.knightfoundation.org/challenges/knight-news-challenge</t>
  </si>
  <si>
    <t>knightfoundation.org</t>
  </si>
  <si>
    <t>ranchiescorts ranchiescort ranchiindependentescorts ranchicallgirls</t>
  </si>
  <si>
    <t>https://pbs.twimg.com/media/CLdpAkVUEAALSqJ.jpg</t>
  </si>
  <si>
    <t>http://abs.twimg.com/sticky/default_profile_images/default_profile_normal.png</t>
  </si>
  <si>
    <t>https://twitter.com/#!/elizarovaranchi/status/628086135474880513</t>
  </si>
  <si>
    <t>https://twitter.com/#!/bablu31422473/status/1176911687879815168</t>
  </si>
  <si>
    <t>628086135474880513</t>
  </si>
  <si>
    <t>1176911687879815168</t>
  </si>
  <si>
    <t/>
  </si>
  <si>
    <t>en</t>
  </si>
  <si>
    <t>Twitter Web Client</t>
  </si>
  <si>
    <t>Twitter Web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</si>
  <si>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</si>
  <si>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</si>
  <si>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</si>
  <si>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</si>
  <si>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</si>
  <si>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</si>
  <si>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</si>
  <si>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</si>
  <si>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</si>
  <si>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</si>
  <si>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</si>
  <si>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</si>
  <si>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</si>
  <si>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</si>
  <si>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</si>
  <si>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</si>
  <si>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</si>
  <si>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</si>
  <si>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</si>
  <si>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</si>
  <si>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</si>
  <si>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</si>
  <si>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Rose Sharma</t>
  </si>
  <si>
    <t>Bablu</t>
  </si>
  <si>
    <t>Hello Friend i am Rose Sharma live il ranchi and dating girl provider</t>
  </si>
  <si>
    <t>Kumhriya akahi</t>
  </si>
  <si>
    <t>Ranchi, India</t>
  </si>
  <si>
    <t>http://t.co/uerM8BwRvz</t>
  </si>
  <si>
    <t>https://pbs.twimg.com/profile_banners/3366251757/1436378287</t>
  </si>
  <si>
    <t>http://abs.twimg.com/images/themes/theme1/bg.png</t>
  </si>
  <si>
    <t>http://pbs.twimg.com/profile_images/618840919765184512/DWpml5hw_normal.jpg</t>
  </si>
  <si>
    <t>Open Twitter Page for This Person</t>
  </si>
  <si>
    <t>https://twitter.com/elizarovaranchi</t>
  </si>
  <si>
    <t>https://twitter.com/bablu31422473</t>
  </si>
  <si>
    <t>elizarovaranchi
Nice blo update https://t.co/3DuRlgVPwz
#ranchiescorts #ranchiescort #ranchiindependentescorts
#ranchicallgirls http://t.co/spBfftUsGZ</t>
  </si>
  <si>
    <t>bablu31422473
RT @elizarovaranchi: Nice blo update
https://t.co/3DuRlgVPwz #ranchiescorts
#ranchiescort #ranchiindependentescorts
#ranchicallgirls http:/…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</si>
  <si>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</si>
  <si>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</si>
  <si>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</si>
  <si>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</si>
  <si>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</si>
  <si>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</si>
  <si>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</si>
  <si>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</si>
  <si>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</si>
  <si>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</si>
  <si>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</si>
  <si>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</si>
  <si>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</si>
  <si>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</si>
  <si>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</si>
  <si>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</si>
  <si>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</si>
  <si>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</si>
  <si>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</si>
  <si>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</si>
  <si>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</si>
  <si>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</si>
  <si>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</si>
  <si>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</si>
  <si>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</si>
  <si>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</si>
  <si>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</si>
  <si>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</si>
  <si>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</si>
  <si>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</si>
  <si>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</si>
  <si>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</si>
  <si>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</si>
  <si>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</si>
  <si>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</si>
  <si>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</si>
  <si>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</si>
  <si>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</si>
  <si>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</si>
  <si>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</si>
  <si>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</si>
  <si>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</si>
  <si>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</si>
  <si>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</si>
  <si>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</si>
  <si>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</si>
  <si>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</si>
  <si>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</si>
  <si>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</si>
  <si>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</si>
  <si>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</si>
  <si>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</si>
  <si>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</si>
  <si>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ranchiescorts</t>
  </si>
  <si>
    <t>ranchiescort</t>
  </si>
  <si>
    <t>ranchiindependentescorts</t>
  </si>
  <si>
    <t>ranchicallgirls</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</si>
  <si>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</si>
  <si>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</si>
  <si>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</si>
  <si>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</si>
  <si>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</si>
  <si>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</si>
  <si>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</si>
  <si>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</si>
  <si>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nice</t>
  </si>
  <si>
    <t>blo</t>
  </si>
  <si>
    <t>update</t>
  </si>
  <si>
    <t>#ranchiescorts</t>
  </si>
  <si>
    <t>#ranchiescort</t>
  </si>
  <si>
    <t>Top Words in Tweet in G1</t>
  </si>
  <si>
    <t>#ranchiindependentescorts</t>
  </si>
  <si>
    <t>#ranchicallgirls</t>
  </si>
  <si>
    <t>Top Words in Tweet</t>
  </si>
  <si>
    <t>nice blo update #ranchiescorts #ranchiescort #ranchiindependentescorts #ranchicallgirls</t>
  </si>
  <si>
    <t>Top Word Pairs in Tweet in Entire Graph</t>
  </si>
  <si>
    <t>nice,blo</t>
  </si>
  <si>
    <t>blo,update</t>
  </si>
  <si>
    <t>update,#ranchiescorts</t>
  </si>
  <si>
    <t>#ranchiescorts,#ranchiescort</t>
  </si>
  <si>
    <t>#ranchiescort,#ranchiindependentescorts</t>
  </si>
  <si>
    <t>#ranchiindependentescorts,#ranchicallgirls</t>
  </si>
  <si>
    <t>Top Word Pairs in Tweet in G1</t>
  </si>
  <si>
    <t>Top Word Pairs in Tweet</t>
  </si>
  <si>
    <t>nice,blo  blo,update  update,#ranchiescorts  #ranchiescorts,#ranchiescort  #ranchiescort,#ranchiindependentescorts  #ranchiindependentescorts,#ranchicallgirls</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</si>
  <si>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</si>
  <si>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</si>
  <si>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</si>
  <si>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</si>
  <si>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</si>
  <si>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</si>
  <si>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</si>
  <si>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</si>
  <si>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</si>
  <si>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elizarovaranchi bablu31422473</t>
  </si>
  <si>
    <t>Top URLs in Tweet by Count</t>
  </si>
  <si>
    <t>Top URLs in Tweet by Salience</t>
  </si>
  <si>
    <t>Top Domains in Tweet by Count</t>
  </si>
  <si>
    <t>Top Domains in Tweet by Salience</t>
  </si>
  <si>
    <t>Top Hashtags in Tweet by Count</t>
  </si>
  <si>
    <t>Top Hashtags in Tweet by Salience</t>
  </si>
  <si>
    <t>Top Words in Tweet by Count</t>
  </si>
  <si>
    <t>elizarovaranchi nice blo update #ranchiescorts #ranchiescort #ranchiindependentescorts #ranchicallgirls http</t>
  </si>
  <si>
    <t>Top Words in Tweet by Salience</t>
  </si>
  <si>
    <t>Top Word Pairs in Tweet by Count</t>
  </si>
  <si>
    <t>elizarovaranchi,nice  nice,blo  blo,update  update,#ranchiescorts  #ranchiescorts,#ranchiescort  #ranchiescort,#ranchiindependentescorts  #ranchiindependentescorts,#ranchicallgirls  #ranchicallgirls,http</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</si>
  <si>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</si>
  <si>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</si>
  <si>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</si>
  <si>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</si>
  <si>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</si>
  <si>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</si>
  <si>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</si>
  <si>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</si>
  <si>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</si>
  <si>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</si>
  <si>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</si>
  <si>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</si>
  <si>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</si>
  <si>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</si>
  <si>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</si>
  <si>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</si>
  <si>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</si>
  <si>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</si>
  <si>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</si>
  <si>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</si>
  <si>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</si>
  <si>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</si>
  <si>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</si>
  <si>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</si>
  <si>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</si>
  <si>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</si>
  <si>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</si>
  <si>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</si>
  <si>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</si>
  <si>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</si>
  <si>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</si>
  <si>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</si>
  <si>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</si>
  <si>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</si>
  <si>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</si>
  <si>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</si>
  <si>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</si>
  <si>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</si>
  <si>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</si>
  <si>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</si>
  <si>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</si>
  <si>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</si>
  <si>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</si>
  <si>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</si>
  <si>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</si>
  <si>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</si>
  <si>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</si>
  <si>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</si>
  <si>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</si>
  <si>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</si>
  <si>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</si>
  <si>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</si>
  <si>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</si>
  <si>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</si>
  <si>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</si>
  <si>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</si>
  <si>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</si>
  <si>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</si>
  <si>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</si>
  <si>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</si>
  <si>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</si>
  <si>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</si>
  <si>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</si>
  <si>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</si>
  <si>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</si>
  <si>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</si>
  <si>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nice blo update #ranchiescorts #ranchiescort #ranchiindependentescorts #ranchicallgirls</t>
  </si>
  <si>
    <t>Autofill Workbook Results</t>
  </si>
  <si>
    <t>Edge Weight▓1▓1▓0▓True▓Gray▓Red▓▓Edge Weight▓1▓1▓0▓3▓10▓False▓Edge Weight▓1▓1▓0▓35▓12▓False▓▓0▓0▓0▓True▓Black▓Black▓▓Followers▓0▓71▓0▓162▓1000▓False▓▓0▓0▓0▓0▓0▓False▓▓0▓0▓0▓0▓0▓False▓▓0▓0▓0▓0▓0▓False</t>
  </si>
  <si>
    <t>GraphSource░GraphServerTwitterSearch▓GraphTerm░newschallenge▓ImportDescription░The graph represents a network of 2 Twitter users whose tweets in the requested range contained "newschallenge", or who were replied to or mentioned in those tweets.  The network was obtained from the NodeXL Graph Server on Tuesday, 12 November 2019 at 16:38 UTC.
The requested start date was Monday, 11 November 2019 at 01:01 UTC and the maximum number of tweets (going backward in time) was 5,000.
The tweets in the network were tweeted over the 0-minute period from Wednesday, 25 September 2019 at 17:29 UTC to Wednesday, 25 September 2019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</si>
</sst>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817137"/>
        <c:axId val="26136506"/>
      </c:barChart>
      <c:catAx>
        <c:axId val="178171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136506"/>
        <c:crosses val="autoZero"/>
        <c:auto val="1"/>
        <c:lblOffset val="100"/>
        <c:noMultiLvlLbl val="0"/>
      </c:catAx>
      <c:valAx>
        <c:axId val="26136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17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newschallenge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8/3/2015 6:12</c:v>
                </c:pt>
                <c:pt idx="1">
                  <c:v>9/25/2019 17:29</c:v>
                </c:pt>
              </c:strCache>
            </c:strRef>
          </c:cat>
          <c:val>
            <c:numRef>
              <c:f>'Time Series'!$B$26:$B$28</c:f>
              <c:numCache>
                <c:formatCode>General</c:formatCode>
                <c:ptCount val="2"/>
                <c:pt idx="0">
                  <c:v>1</c:v>
                </c:pt>
                <c:pt idx="1">
                  <c:v>1</c:v>
                </c:pt>
              </c:numCache>
            </c:numRef>
          </c:val>
        </c:ser>
        <c:axId val="33653979"/>
        <c:axId val="34450356"/>
      </c:barChart>
      <c:catAx>
        <c:axId val="33653979"/>
        <c:scaling>
          <c:orientation val="minMax"/>
        </c:scaling>
        <c:axPos val="b"/>
        <c:delete val="0"/>
        <c:numFmt formatCode="General" sourceLinked="1"/>
        <c:majorTickMark val="out"/>
        <c:minorTickMark val="none"/>
        <c:tickLblPos val="nextTo"/>
        <c:crossAx val="34450356"/>
        <c:crosses val="autoZero"/>
        <c:auto val="1"/>
        <c:lblOffset val="100"/>
        <c:noMultiLvlLbl val="0"/>
      </c:catAx>
      <c:valAx>
        <c:axId val="34450356"/>
        <c:scaling>
          <c:orientation val="minMax"/>
        </c:scaling>
        <c:axPos val="l"/>
        <c:majorGridlines/>
        <c:delete val="0"/>
        <c:numFmt formatCode="General" sourceLinked="1"/>
        <c:majorTickMark val="out"/>
        <c:minorTickMark val="none"/>
        <c:tickLblPos val="nextTo"/>
        <c:crossAx val="336539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901963"/>
        <c:axId val="36682212"/>
      </c:barChart>
      <c:catAx>
        <c:axId val="339019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682212"/>
        <c:crosses val="autoZero"/>
        <c:auto val="1"/>
        <c:lblOffset val="100"/>
        <c:noMultiLvlLbl val="0"/>
      </c:catAx>
      <c:valAx>
        <c:axId val="36682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01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704453"/>
        <c:axId val="18469166"/>
      </c:barChart>
      <c:catAx>
        <c:axId val="617044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469166"/>
        <c:crosses val="autoZero"/>
        <c:auto val="1"/>
        <c:lblOffset val="100"/>
        <c:noMultiLvlLbl val="0"/>
      </c:catAx>
      <c:valAx>
        <c:axId val="18469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4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004767"/>
        <c:axId val="19607448"/>
      </c:barChart>
      <c:catAx>
        <c:axId val="320047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07448"/>
        <c:crosses val="autoZero"/>
        <c:auto val="1"/>
        <c:lblOffset val="100"/>
        <c:noMultiLvlLbl val="0"/>
      </c:catAx>
      <c:valAx>
        <c:axId val="19607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0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249305"/>
        <c:axId val="44699426"/>
      </c:barChart>
      <c:catAx>
        <c:axId val="422493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699426"/>
        <c:crosses val="autoZero"/>
        <c:auto val="1"/>
        <c:lblOffset val="100"/>
        <c:noMultiLvlLbl val="0"/>
      </c:catAx>
      <c:valAx>
        <c:axId val="44699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9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750515"/>
        <c:axId val="63883724"/>
      </c:barChart>
      <c:catAx>
        <c:axId val="667505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883724"/>
        <c:crosses val="autoZero"/>
        <c:auto val="1"/>
        <c:lblOffset val="100"/>
        <c:noMultiLvlLbl val="0"/>
      </c:catAx>
      <c:valAx>
        <c:axId val="63883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0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082605"/>
        <c:axId val="7199126"/>
      </c:barChart>
      <c:catAx>
        <c:axId val="380826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199126"/>
        <c:crosses val="autoZero"/>
        <c:auto val="1"/>
        <c:lblOffset val="100"/>
        <c:noMultiLvlLbl val="0"/>
      </c:catAx>
      <c:valAx>
        <c:axId val="7199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82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792135"/>
        <c:axId val="46258304"/>
      </c:barChart>
      <c:catAx>
        <c:axId val="647921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258304"/>
        <c:crosses val="autoZero"/>
        <c:auto val="1"/>
        <c:lblOffset val="100"/>
        <c:noMultiLvlLbl val="0"/>
      </c:catAx>
      <c:valAx>
        <c:axId val="46258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2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671553"/>
        <c:axId val="55935114"/>
      </c:barChart>
      <c:catAx>
        <c:axId val="13671553"/>
        <c:scaling>
          <c:orientation val="minMax"/>
        </c:scaling>
        <c:axPos val="b"/>
        <c:delete val="1"/>
        <c:majorTickMark val="out"/>
        <c:minorTickMark val="none"/>
        <c:tickLblPos val="none"/>
        <c:crossAx val="55935114"/>
        <c:crosses val="autoZero"/>
        <c:auto val="1"/>
        <c:lblOffset val="100"/>
        <c:noMultiLvlLbl val="0"/>
      </c:catAx>
      <c:valAx>
        <c:axId val="55935114"/>
        <c:scaling>
          <c:orientation val="minMax"/>
        </c:scaling>
        <c:axPos val="l"/>
        <c:delete val="1"/>
        <c:majorTickMark val="out"/>
        <c:minorTickMark val="none"/>
        <c:tickLblPos val="none"/>
        <c:crossAx val="136715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38100</xdr:rowOff>
    </xdr:from>
    <xdr:to>
      <xdr:col>1</xdr:col>
      <xdr:colOff>914400</xdr:colOff>
      <xdr:row>60</xdr:row>
      <xdr:rowOff>180975</xdr:rowOff>
    </xdr:to>
    <xdr:graphicFrame macro="">
      <xdr:nvGraphicFramePr>
        <xdr:cNvPr id="2" name="DegreeHistogram"/>
        <xdr:cNvGraphicFramePr/>
      </xdr:nvGraphicFramePr>
      <xdr:xfrm>
        <a:off x="0" y="10144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67</xdr:row>
      <xdr:rowOff>38100</xdr:rowOff>
    </xdr:from>
    <xdr:to>
      <xdr:col>1</xdr:col>
      <xdr:colOff>914400</xdr:colOff>
      <xdr:row>74</xdr:row>
      <xdr:rowOff>180975</xdr:rowOff>
    </xdr:to>
    <xdr:graphicFrame macro="">
      <xdr:nvGraphicFramePr>
        <xdr:cNvPr id="5" name="InDegreeHistogram"/>
        <xdr:cNvGraphicFramePr/>
      </xdr:nvGraphicFramePr>
      <xdr:xfrm>
        <a:off x="0" y="12811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81</xdr:row>
      <xdr:rowOff>28575</xdr:rowOff>
    </xdr:from>
    <xdr:to>
      <xdr:col>1</xdr:col>
      <xdr:colOff>914400</xdr:colOff>
      <xdr:row>88</xdr:row>
      <xdr:rowOff>171450</xdr:rowOff>
    </xdr:to>
    <xdr:graphicFrame macro="">
      <xdr:nvGraphicFramePr>
        <xdr:cNvPr id="4" name="OutDegreeHistogram"/>
        <xdr:cNvGraphicFramePr/>
      </xdr:nvGraphicFramePr>
      <xdr:xfrm>
        <a:off x="0" y="15468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95</xdr:row>
      <xdr:rowOff>9525</xdr:rowOff>
    </xdr:from>
    <xdr:to>
      <xdr:col>1</xdr:col>
      <xdr:colOff>914400</xdr:colOff>
      <xdr:row>102</xdr:row>
      <xdr:rowOff>152400</xdr:rowOff>
    </xdr:to>
    <xdr:graphicFrame macro="">
      <xdr:nvGraphicFramePr>
        <xdr:cNvPr id="6" name="BetweennessCentralityHistogram"/>
        <xdr:cNvGraphicFramePr/>
      </xdr:nvGraphicFramePr>
      <xdr:xfrm>
        <a:off x="0" y="18116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109</xdr:row>
      <xdr:rowOff>19050</xdr:rowOff>
    </xdr:from>
    <xdr:to>
      <xdr:col>2</xdr:col>
      <xdr:colOff>0</xdr:colOff>
      <xdr:row>116</xdr:row>
      <xdr:rowOff>161925</xdr:rowOff>
    </xdr:to>
    <xdr:graphicFrame macro="">
      <xdr:nvGraphicFramePr>
        <xdr:cNvPr id="7" name="ClosenessCentralityHistogram"/>
        <xdr:cNvGraphicFramePr/>
      </xdr:nvGraphicFramePr>
      <xdr:xfrm>
        <a:off x="9525" y="20793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123</xdr:row>
      <xdr:rowOff>19050</xdr:rowOff>
    </xdr:from>
    <xdr:to>
      <xdr:col>1</xdr:col>
      <xdr:colOff>914400</xdr:colOff>
      <xdr:row>130</xdr:row>
      <xdr:rowOff>161925</xdr:rowOff>
    </xdr:to>
    <xdr:graphicFrame macro="">
      <xdr:nvGraphicFramePr>
        <xdr:cNvPr id="8" name="EigenvectorCentralityHistogram"/>
        <xdr:cNvGraphicFramePr/>
      </xdr:nvGraphicFramePr>
      <xdr:xfrm>
        <a:off x="0" y="23460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151</xdr:row>
      <xdr:rowOff>9525</xdr:rowOff>
    </xdr:from>
    <xdr:to>
      <xdr:col>1</xdr:col>
      <xdr:colOff>914400</xdr:colOff>
      <xdr:row>158</xdr:row>
      <xdr:rowOff>152400</xdr:rowOff>
    </xdr:to>
    <xdr:graphicFrame macro="">
      <xdr:nvGraphicFramePr>
        <xdr:cNvPr id="9" name="ClusteringCoefficientHistogram"/>
        <xdr:cNvGraphicFramePr/>
      </xdr:nvGraphicFramePr>
      <xdr:xfrm>
        <a:off x="0" y="28784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137</xdr:row>
      <xdr:rowOff>0</xdr:rowOff>
    </xdr:from>
    <xdr:to>
      <xdr:col>1</xdr:col>
      <xdr:colOff>914400</xdr:colOff>
      <xdr:row>144</xdr:row>
      <xdr:rowOff>142875</xdr:rowOff>
    </xdr:to>
    <xdr:graphicFrame macro="">
      <xdr:nvGraphicFramePr>
        <xdr:cNvPr id="10" name="ClusteringCoefficientHistogram"/>
        <xdr:cNvGraphicFramePr/>
      </xdr:nvGraphicFramePr>
      <xdr:xfrm>
        <a:off x="0" y="26108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Smith" refreshedVersion="5">
  <cacheSource type="worksheet">
    <worksheetSource ref="A2:BL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ranchiescorts ranchiescort ranchiindependentescorts ranchicallgir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15-08-03T06:12:58.000"/>
        <d v="2019-09-25T17:29:4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elizarovaranchi"/>
    <s v="elizarovaranchi"/>
    <m/>
    <m/>
    <m/>
    <m/>
    <m/>
    <m/>
    <m/>
    <m/>
    <s v="No"/>
    <n v="3"/>
    <m/>
    <m/>
    <x v="0"/>
    <d v="2015-08-03T06:12:58.000"/>
    <s v="Nice blo update_x000a_https://t.co/3DuRlgVPwz_x000a_#ranchiescorts #ranchiescort #ranchiindependentescorts #ranchicallgirls http://t.co/spBfftUsGZ"/>
    <s v="https://www.knightfoundation.org/challenges/knight-news-challenge"/>
    <s v="knightfoundation.org"/>
    <x v="0"/>
    <s v="https://pbs.twimg.com/media/CLdpAkVUEAALSqJ.jpg"/>
    <s v="https://pbs.twimg.com/media/CLdpAkVUEAALSqJ.jpg"/>
    <x v="0"/>
    <s v="https://twitter.com/#!/elizarovaranchi/status/628086135474880513"/>
    <m/>
    <m/>
    <s v="628086135474880513"/>
    <m/>
    <b v="0"/>
    <n v="1"/>
    <s v=""/>
    <b v="0"/>
    <s v="en"/>
    <m/>
    <s v=""/>
    <b v="0"/>
    <n v="1"/>
    <s v=""/>
    <s v="Twitter Web Client"/>
    <b v="0"/>
    <s v="628086135474880513"/>
    <s v="Retweet"/>
    <n v="0"/>
    <n v="0"/>
    <m/>
    <m/>
    <m/>
    <m/>
    <m/>
    <m/>
    <m/>
    <m/>
    <n v="1"/>
    <s v="1"/>
    <s v="1"/>
    <n v="1"/>
    <n v="14.285714285714286"/>
    <n v="0"/>
    <n v="0"/>
    <n v="0"/>
    <n v="0"/>
    <n v="6"/>
    <n v="85.71428571428571"/>
    <n v="7"/>
  </r>
  <r>
    <s v="bablu31422473"/>
    <s v="elizarovaranchi"/>
    <m/>
    <m/>
    <m/>
    <m/>
    <m/>
    <m/>
    <m/>
    <m/>
    <s v="No"/>
    <n v="4"/>
    <m/>
    <m/>
    <x v="1"/>
    <d v="2019-09-25T17:29:47.000"/>
    <s v="RT @elizarovaranchi: Nice blo update_x000a_https://t.co/3DuRlgVPwz_x000a_#ranchiescorts #ranchiescort #ranchiindependentescorts #ranchicallgirls http:/…"/>
    <s v="https://www.knightfoundation.org/challenges/knight-news-challenge"/>
    <s v="knightfoundation.org"/>
    <x v="0"/>
    <m/>
    <s v="http://abs.twimg.com/sticky/default_profile_images/default_profile_normal.png"/>
    <x v="1"/>
    <s v="https://twitter.com/#!/bablu31422473/status/1176911687879815168"/>
    <m/>
    <m/>
    <s v="1176911687879815168"/>
    <m/>
    <b v="0"/>
    <n v="0"/>
    <s v=""/>
    <b v="0"/>
    <s v="en"/>
    <m/>
    <s v=""/>
    <b v="0"/>
    <n v="0"/>
    <s v="628086135474880513"/>
    <s v="Twitter Web App"/>
    <b v="0"/>
    <s v="628086135474880513"/>
    <s v="Tweet"/>
    <n v="0"/>
    <n v="0"/>
    <m/>
    <m/>
    <m/>
    <m/>
    <m/>
    <m/>
    <m/>
    <m/>
    <n v="1"/>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 totalsRowShown="0" headerRowDxfId="352" dataDxfId="351">
  <autoFilter ref="A2:BL4"/>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D6" totalsRowShown="0" headerRowDxfId="200" dataDxfId="199">
  <autoFilter ref="A5:D6"/>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D13" totalsRowShown="0" headerRowDxfId="193" dataDxfId="192">
  <autoFilter ref="A9:D13"/>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6:D26" totalsRowShown="0" headerRowDxfId="186" dataDxfId="185">
  <autoFilter ref="A16:D26"/>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9:D35" totalsRowShown="0" headerRowDxfId="179" dataDxfId="178">
  <autoFilter ref="A29:D35"/>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8:D39" totalsRowShown="0" headerRowDxfId="172" dataDxfId="171">
  <autoFilter ref="A38:D39"/>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1:D42" totalsRowShown="0" headerRowDxfId="169" dataDxfId="168">
  <autoFilter ref="A41:D42"/>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5:D47" totalsRowShown="0" headerRowDxfId="158" dataDxfId="157">
  <autoFilter ref="A45:D47"/>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0" totalsRowShown="0" headerRowDxfId="141" dataDxfId="140">
  <autoFilter ref="A1:G2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299" dataDxfId="298">
  <autoFilter ref="A2:BS4"/>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 totalsRowShown="0" headerRowDxfId="132" dataDxfId="131">
  <autoFilter ref="A1:L1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 totalsRowShown="0" headerRowDxfId="64" dataDxfId="63">
  <autoFilter ref="A2:BL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3" totalsRowShown="0" headerRowDxfId="70" dataDxfId="69">
  <autoFilter ref="A1:B3"/>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53" dataDxfId="252">
  <autoFilter ref="A1:C3"/>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8:B51" totalsRowShown="0">
  <autoFilter ref="A48:B5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nightfoundation.org/challenges/knight-news-challenge" TargetMode="External" /><Relationship Id="rId2" Type="http://schemas.openxmlformats.org/officeDocument/2006/relationships/hyperlink" Target="https://www.knightfoundation.org/challenges/knight-news-challenge" TargetMode="External" /><Relationship Id="rId3" Type="http://schemas.openxmlformats.org/officeDocument/2006/relationships/hyperlink" Target="https://pbs.twimg.com/media/CLdpAkVUEAALSqJ.jpg" TargetMode="External" /><Relationship Id="rId4" Type="http://schemas.openxmlformats.org/officeDocument/2006/relationships/hyperlink" Target="https://pbs.twimg.com/media/CLdpAkVUEAALSqJ.jpg" TargetMode="External" /><Relationship Id="rId5" Type="http://schemas.openxmlformats.org/officeDocument/2006/relationships/hyperlink" Target="http://abs.twimg.com/sticky/default_profile_images/default_profile_normal.png" TargetMode="External" /><Relationship Id="rId6" Type="http://schemas.openxmlformats.org/officeDocument/2006/relationships/hyperlink" Target="https://twitter.com/#!/elizarovaranchi/status/628086135474880513" TargetMode="External" /><Relationship Id="rId7" Type="http://schemas.openxmlformats.org/officeDocument/2006/relationships/hyperlink" Target="https://twitter.com/#!/bablu31422473/status/1176911687879815168"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knightfoundation.org/challenges/knight-news-challenge" TargetMode="External" /><Relationship Id="rId2" Type="http://schemas.openxmlformats.org/officeDocument/2006/relationships/hyperlink" Target="https://www.knightfoundation.org/challenges/knight-news-challenge" TargetMode="External" /><Relationship Id="rId3" Type="http://schemas.openxmlformats.org/officeDocument/2006/relationships/hyperlink" Target="https://pbs.twimg.com/media/CLdpAkVUEAALSqJ.jpg" TargetMode="External" /><Relationship Id="rId4" Type="http://schemas.openxmlformats.org/officeDocument/2006/relationships/hyperlink" Target="https://pbs.twimg.com/media/CLdpAkVUEAALSqJ.jpg" TargetMode="External" /><Relationship Id="rId5" Type="http://schemas.openxmlformats.org/officeDocument/2006/relationships/hyperlink" Target="http://abs.twimg.com/sticky/default_profile_images/default_profile_normal.png" TargetMode="External" /><Relationship Id="rId6" Type="http://schemas.openxmlformats.org/officeDocument/2006/relationships/hyperlink" Target="https://twitter.com/#!/elizarovaranchi/status/628086135474880513" TargetMode="External" /><Relationship Id="rId7" Type="http://schemas.openxmlformats.org/officeDocument/2006/relationships/hyperlink" Target="https://twitter.com/#!/bablu31422473/status/1176911687879815168" TargetMode="External" /><Relationship Id="rId8" Type="http://schemas.openxmlformats.org/officeDocument/2006/relationships/comments" Target="../comments13.xml" /><Relationship Id="rId9" Type="http://schemas.openxmlformats.org/officeDocument/2006/relationships/vmlDrawing" Target="../drawings/vmlDrawing6.vml" /><Relationship Id="rId10" Type="http://schemas.openxmlformats.org/officeDocument/2006/relationships/table" Target="../tables/table23.xml" /><Relationship Id="rId1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erM8BwRvz" TargetMode="External" /><Relationship Id="rId2" Type="http://schemas.openxmlformats.org/officeDocument/2006/relationships/hyperlink" Target="https://pbs.twimg.com/profile_banners/3366251757/1436378287" TargetMode="External" /><Relationship Id="rId3" Type="http://schemas.openxmlformats.org/officeDocument/2006/relationships/hyperlink" Target="http://abs.twimg.com/images/themes/theme1/bg.png" TargetMode="External" /><Relationship Id="rId4" Type="http://schemas.openxmlformats.org/officeDocument/2006/relationships/hyperlink" Target="http://pbs.twimg.com/profile_images/618840919765184512/DWpml5hw_normal.jpg" TargetMode="External" /><Relationship Id="rId5" Type="http://schemas.openxmlformats.org/officeDocument/2006/relationships/hyperlink" Target="http://abs.twimg.com/sticky/default_profile_images/default_profile_normal.png" TargetMode="External" /><Relationship Id="rId6" Type="http://schemas.openxmlformats.org/officeDocument/2006/relationships/hyperlink" Target="https://twitter.com/elizarovaranchi" TargetMode="External" /><Relationship Id="rId7" Type="http://schemas.openxmlformats.org/officeDocument/2006/relationships/hyperlink" Target="https://twitter.com/bablu31422473" TargetMode="External" /><Relationship Id="rId8" Type="http://schemas.openxmlformats.org/officeDocument/2006/relationships/comments" Target="../comments2.xml" /><Relationship Id="rId9" Type="http://schemas.openxmlformats.org/officeDocument/2006/relationships/vmlDrawing" Target="../drawings/vmlDrawing2.vml" /><Relationship Id="rId10" Type="http://schemas.openxmlformats.org/officeDocument/2006/relationships/table" Target="../tables/table2.x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knightfoundation.org/challenges/knight-news-challenge" TargetMode="External" /><Relationship Id="rId2" Type="http://schemas.openxmlformats.org/officeDocument/2006/relationships/hyperlink" Target="https://www.knightfoundation.org/challenges/knight-news-challenge"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304</v>
      </c>
      <c r="BB2" s="13" t="s">
        <v>308</v>
      </c>
      <c r="BC2" s="13" t="s">
        <v>309</v>
      </c>
      <c r="BD2" s="67" t="s">
        <v>389</v>
      </c>
      <c r="BE2" s="67" t="s">
        <v>390</v>
      </c>
      <c r="BF2" s="67" t="s">
        <v>391</v>
      </c>
      <c r="BG2" s="67" t="s">
        <v>392</v>
      </c>
      <c r="BH2" s="67" t="s">
        <v>393</v>
      </c>
      <c r="BI2" s="67" t="s">
        <v>394</v>
      </c>
      <c r="BJ2" s="67" t="s">
        <v>395</v>
      </c>
      <c r="BK2" s="67" t="s">
        <v>396</v>
      </c>
      <c r="BL2" s="67" t="s">
        <v>397</v>
      </c>
    </row>
    <row r="3" spans="1:64" ht="15" customHeight="1">
      <c r="A3" s="82" t="s">
        <v>212</v>
      </c>
      <c r="B3" s="82" t="s">
        <v>212</v>
      </c>
      <c r="C3" s="52" t="s">
        <v>437</v>
      </c>
      <c r="D3" s="53">
        <v>3</v>
      </c>
      <c r="E3" s="65" t="s">
        <v>132</v>
      </c>
      <c r="F3" s="54">
        <v>35</v>
      </c>
      <c r="G3" s="52"/>
      <c r="H3" s="56"/>
      <c r="I3" s="55"/>
      <c r="J3" s="55"/>
      <c r="K3" s="35" t="s">
        <v>65</v>
      </c>
      <c r="L3" s="61">
        <v>3</v>
      </c>
      <c r="M3" s="61"/>
      <c r="N3" s="62"/>
      <c r="O3" s="83" t="s">
        <v>176</v>
      </c>
      <c r="P3" s="85">
        <v>42219.25900462963</v>
      </c>
      <c r="Q3" s="83" t="s">
        <v>215</v>
      </c>
      <c r="R3" s="87" t="s">
        <v>217</v>
      </c>
      <c r="S3" s="83" t="s">
        <v>218</v>
      </c>
      <c r="T3" s="83" t="s">
        <v>219</v>
      </c>
      <c r="U3" s="87" t="s">
        <v>220</v>
      </c>
      <c r="V3" s="87" t="s">
        <v>220</v>
      </c>
      <c r="W3" s="85">
        <v>42219.25900462963</v>
      </c>
      <c r="X3" s="87" t="s">
        <v>222</v>
      </c>
      <c r="Y3" s="83"/>
      <c r="Z3" s="83"/>
      <c r="AA3" s="89" t="s">
        <v>224</v>
      </c>
      <c r="AB3" s="83"/>
      <c r="AC3" s="83" t="b">
        <v>0</v>
      </c>
      <c r="AD3" s="83">
        <v>1</v>
      </c>
      <c r="AE3" s="89" t="s">
        <v>226</v>
      </c>
      <c r="AF3" s="83" t="b">
        <v>0</v>
      </c>
      <c r="AG3" s="83" t="s">
        <v>227</v>
      </c>
      <c r="AH3" s="83"/>
      <c r="AI3" s="89" t="s">
        <v>226</v>
      </c>
      <c r="AJ3" s="83" t="b">
        <v>0</v>
      </c>
      <c r="AK3" s="83">
        <v>1</v>
      </c>
      <c r="AL3" s="89" t="s">
        <v>226</v>
      </c>
      <c r="AM3" s="83" t="s">
        <v>228</v>
      </c>
      <c r="AN3" s="83" t="b">
        <v>0</v>
      </c>
      <c r="AO3" s="89" t="s">
        <v>224</v>
      </c>
      <c r="AP3" s="83" t="s">
        <v>230</v>
      </c>
      <c r="AQ3" s="83">
        <v>0</v>
      </c>
      <c r="AR3" s="83">
        <v>0</v>
      </c>
      <c r="AS3" s="83"/>
      <c r="AT3" s="83"/>
      <c r="AU3" s="83"/>
      <c r="AV3" s="83"/>
      <c r="AW3" s="83"/>
      <c r="AX3" s="83"/>
      <c r="AY3" s="83"/>
      <c r="AZ3" s="83"/>
      <c r="BA3">
        <v>1</v>
      </c>
      <c r="BB3" s="83" t="str">
        <f>REPLACE(INDEX(GroupVertices[Group],MATCH(Edges[[#This Row],[Vertex 1]],GroupVertices[Vertex],0)),1,1,"")</f>
        <v>1</v>
      </c>
      <c r="BC3" s="83" t="str">
        <f>REPLACE(INDEX(GroupVertices[Group],MATCH(Edges[[#This Row],[Vertex 2]],GroupVertices[Vertex],0)),1,1,"")</f>
        <v>1</v>
      </c>
      <c r="BD3" s="50">
        <v>1</v>
      </c>
      <c r="BE3" s="51">
        <v>14.285714285714286</v>
      </c>
      <c r="BF3" s="50">
        <v>0</v>
      </c>
      <c r="BG3" s="51">
        <v>0</v>
      </c>
      <c r="BH3" s="50">
        <v>0</v>
      </c>
      <c r="BI3" s="51">
        <v>0</v>
      </c>
      <c r="BJ3" s="50">
        <v>6</v>
      </c>
      <c r="BK3" s="51">
        <v>85.71428571428571</v>
      </c>
      <c r="BL3" s="50">
        <v>7</v>
      </c>
    </row>
    <row r="4" spans="1:64" ht="15" customHeight="1">
      <c r="A4" s="82" t="s">
        <v>213</v>
      </c>
      <c r="B4" s="82" t="s">
        <v>212</v>
      </c>
      <c r="C4" s="52" t="s">
        <v>437</v>
      </c>
      <c r="D4" s="53">
        <v>3</v>
      </c>
      <c r="E4" s="65" t="s">
        <v>132</v>
      </c>
      <c r="F4" s="54">
        <v>35</v>
      </c>
      <c r="G4" s="52"/>
      <c r="H4" s="56"/>
      <c r="I4" s="55"/>
      <c r="J4" s="55"/>
      <c r="K4" s="35" t="s">
        <v>65</v>
      </c>
      <c r="L4" s="81">
        <v>4</v>
      </c>
      <c r="M4" s="81"/>
      <c r="N4" s="62"/>
      <c r="O4" s="84" t="s">
        <v>214</v>
      </c>
      <c r="P4" s="86">
        <v>43733.7290162037</v>
      </c>
      <c r="Q4" s="84" t="s">
        <v>216</v>
      </c>
      <c r="R4" s="88" t="s">
        <v>217</v>
      </c>
      <c r="S4" s="84" t="s">
        <v>218</v>
      </c>
      <c r="T4" s="84" t="s">
        <v>219</v>
      </c>
      <c r="U4" s="84"/>
      <c r="V4" s="88" t="s">
        <v>221</v>
      </c>
      <c r="W4" s="86">
        <v>43733.7290162037</v>
      </c>
      <c r="X4" s="88" t="s">
        <v>223</v>
      </c>
      <c r="Y4" s="84"/>
      <c r="Z4" s="84"/>
      <c r="AA4" s="90" t="s">
        <v>225</v>
      </c>
      <c r="AB4" s="84"/>
      <c r="AC4" s="84" t="b">
        <v>0</v>
      </c>
      <c r="AD4" s="84">
        <v>0</v>
      </c>
      <c r="AE4" s="90" t="s">
        <v>226</v>
      </c>
      <c r="AF4" s="84" t="b">
        <v>0</v>
      </c>
      <c r="AG4" s="84" t="s">
        <v>227</v>
      </c>
      <c r="AH4" s="84"/>
      <c r="AI4" s="90" t="s">
        <v>226</v>
      </c>
      <c r="AJ4" s="84" t="b">
        <v>0</v>
      </c>
      <c r="AK4" s="84">
        <v>0</v>
      </c>
      <c r="AL4" s="90" t="s">
        <v>224</v>
      </c>
      <c r="AM4" s="84" t="s">
        <v>229</v>
      </c>
      <c r="AN4" s="84" t="b">
        <v>0</v>
      </c>
      <c r="AO4" s="90" t="s">
        <v>224</v>
      </c>
      <c r="AP4" s="84" t="s">
        <v>176</v>
      </c>
      <c r="AQ4" s="84">
        <v>0</v>
      </c>
      <c r="AR4" s="84">
        <v>0</v>
      </c>
      <c r="AS4" s="84"/>
      <c r="AT4" s="84"/>
      <c r="AU4" s="84"/>
      <c r="AV4" s="84"/>
      <c r="AW4" s="84"/>
      <c r="AX4" s="84"/>
      <c r="AY4" s="84"/>
      <c r="AZ4" s="84"/>
      <c r="BA4">
        <v>1</v>
      </c>
      <c r="BB4" s="83" t="str">
        <f>REPLACE(INDEX(GroupVertices[Group],MATCH(Edges[[#This Row],[Vertex 1]],GroupVertices[Vertex],0)),1,1,"")</f>
        <v>1</v>
      </c>
      <c r="BC4" s="83" t="str">
        <f>REPLACE(INDEX(GroupVertices[Group],MATCH(Edges[[#This Row],[Vertex 2]],GroupVertices[Vertex],0)),1,1,"")</f>
        <v>1</v>
      </c>
      <c r="BD4" s="50">
        <v>1</v>
      </c>
      <c r="BE4" s="51">
        <v>10</v>
      </c>
      <c r="BF4" s="50">
        <v>0</v>
      </c>
      <c r="BG4" s="51">
        <v>0</v>
      </c>
      <c r="BH4" s="50">
        <v>0</v>
      </c>
      <c r="BI4" s="51">
        <v>0</v>
      </c>
      <c r="BJ4" s="50">
        <v>9</v>
      </c>
      <c r="BK4" s="51">
        <v>90</v>
      </c>
      <c r="BL4" s="50">
        <v>10</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www.knightfoundation.org/challenges/knight-news-challenge"/>
    <hyperlink ref="R4" r:id="rId2" display="https://www.knightfoundation.org/challenges/knight-news-challenge"/>
    <hyperlink ref="U3" r:id="rId3" display="https://pbs.twimg.com/media/CLdpAkVUEAALSqJ.jpg"/>
    <hyperlink ref="V3" r:id="rId4" display="https://pbs.twimg.com/media/CLdpAkVUEAALSqJ.jpg"/>
    <hyperlink ref="V4" r:id="rId5" display="http://abs.twimg.com/sticky/default_profile_images/default_profile_normal.png"/>
    <hyperlink ref="X3" r:id="rId6" display="https://twitter.com/#!/elizarovaranchi/status/628086135474880513"/>
    <hyperlink ref="X4" r:id="rId7" display="https://twitter.com/#!/bablu31422473/status/1176911687879815168"/>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380</v>
      </c>
      <c r="B1" s="13" t="s">
        <v>381</v>
      </c>
      <c r="C1" s="13" t="s">
        <v>374</v>
      </c>
      <c r="D1" s="13" t="s">
        <v>375</v>
      </c>
      <c r="E1" s="13" t="s">
        <v>382</v>
      </c>
      <c r="F1" s="13" t="s">
        <v>144</v>
      </c>
      <c r="G1" s="13" t="s">
        <v>383</v>
      </c>
      <c r="H1" s="13" t="s">
        <v>384</v>
      </c>
      <c r="I1" s="13" t="s">
        <v>385</v>
      </c>
      <c r="J1" s="13" t="s">
        <v>386</v>
      </c>
      <c r="K1" s="13" t="s">
        <v>387</v>
      </c>
      <c r="L1" s="13" t="s">
        <v>388</v>
      </c>
    </row>
    <row r="2" spans="1:12" ht="15">
      <c r="A2" s="89" t="s">
        <v>331</v>
      </c>
      <c r="B2" s="89" t="s">
        <v>332</v>
      </c>
      <c r="C2" s="89">
        <v>2</v>
      </c>
      <c r="D2" s="113">
        <v>0</v>
      </c>
      <c r="E2" s="113">
        <v>0.8450980400142568</v>
      </c>
      <c r="F2" s="89" t="s">
        <v>376</v>
      </c>
      <c r="G2" s="89" t="b">
        <v>1</v>
      </c>
      <c r="H2" s="89" t="b">
        <v>0</v>
      </c>
      <c r="I2" s="89" t="b">
        <v>0</v>
      </c>
      <c r="J2" s="89" t="b">
        <v>0</v>
      </c>
      <c r="K2" s="89" t="b">
        <v>0</v>
      </c>
      <c r="L2" s="89" t="b">
        <v>0</v>
      </c>
    </row>
    <row r="3" spans="1:12" ht="15">
      <c r="A3" s="89" t="s">
        <v>332</v>
      </c>
      <c r="B3" s="89" t="s">
        <v>333</v>
      </c>
      <c r="C3" s="89">
        <v>2</v>
      </c>
      <c r="D3" s="113">
        <v>0</v>
      </c>
      <c r="E3" s="113">
        <v>0.8450980400142568</v>
      </c>
      <c r="F3" s="89" t="s">
        <v>376</v>
      </c>
      <c r="G3" s="89" t="b">
        <v>0</v>
      </c>
      <c r="H3" s="89" t="b">
        <v>0</v>
      </c>
      <c r="I3" s="89" t="b">
        <v>0</v>
      </c>
      <c r="J3" s="89" t="b">
        <v>0</v>
      </c>
      <c r="K3" s="89" t="b">
        <v>0</v>
      </c>
      <c r="L3" s="89" t="b">
        <v>0</v>
      </c>
    </row>
    <row r="4" spans="1:12" ht="15">
      <c r="A4" s="89" t="s">
        <v>333</v>
      </c>
      <c r="B4" s="89" t="s">
        <v>334</v>
      </c>
      <c r="C4" s="89">
        <v>2</v>
      </c>
      <c r="D4" s="113">
        <v>0</v>
      </c>
      <c r="E4" s="113">
        <v>0.8450980400142568</v>
      </c>
      <c r="F4" s="89" t="s">
        <v>376</v>
      </c>
      <c r="G4" s="89" t="b">
        <v>0</v>
      </c>
      <c r="H4" s="89" t="b">
        <v>0</v>
      </c>
      <c r="I4" s="89" t="b">
        <v>0</v>
      </c>
      <c r="J4" s="89" t="b">
        <v>0</v>
      </c>
      <c r="K4" s="89" t="b">
        <v>0</v>
      </c>
      <c r="L4" s="89" t="b">
        <v>0</v>
      </c>
    </row>
    <row r="5" spans="1:12" ht="15">
      <c r="A5" s="89" t="s">
        <v>334</v>
      </c>
      <c r="B5" s="89" t="s">
        <v>335</v>
      </c>
      <c r="C5" s="89">
        <v>2</v>
      </c>
      <c r="D5" s="113">
        <v>0</v>
      </c>
      <c r="E5" s="113">
        <v>0.8450980400142568</v>
      </c>
      <c r="F5" s="89" t="s">
        <v>376</v>
      </c>
      <c r="G5" s="89" t="b">
        <v>0</v>
      </c>
      <c r="H5" s="89" t="b">
        <v>0</v>
      </c>
      <c r="I5" s="89" t="b">
        <v>0</v>
      </c>
      <c r="J5" s="89" t="b">
        <v>0</v>
      </c>
      <c r="K5" s="89" t="b">
        <v>0</v>
      </c>
      <c r="L5" s="89" t="b">
        <v>0</v>
      </c>
    </row>
    <row r="6" spans="1:12" ht="15">
      <c r="A6" s="89" t="s">
        <v>335</v>
      </c>
      <c r="B6" s="89" t="s">
        <v>337</v>
      </c>
      <c r="C6" s="89">
        <v>2</v>
      </c>
      <c r="D6" s="113">
        <v>0</v>
      </c>
      <c r="E6" s="113">
        <v>0.8450980400142568</v>
      </c>
      <c r="F6" s="89" t="s">
        <v>376</v>
      </c>
      <c r="G6" s="89" t="b">
        <v>0</v>
      </c>
      <c r="H6" s="89" t="b">
        <v>0</v>
      </c>
      <c r="I6" s="89" t="b">
        <v>0</v>
      </c>
      <c r="J6" s="89" t="b">
        <v>0</v>
      </c>
      <c r="K6" s="89" t="b">
        <v>0</v>
      </c>
      <c r="L6" s="89" t="b">
        <v>0</v>
      </c>
    </row>
    <row r="7" spans="1:12" ht="15">
      <c r="A7" s="89" t="s">
        <v>337</v>
      </c>
      <c r="B7" s="89" t="s">
        <v>338</v>
      </c>
      <c r="C7" s="89">
        <v>2</v>
      </c>
      <c r="D7" s="113">
        <v>0</v>
      </c>
      <c r="E7" s="113">
        <v>0.8450980400142568</v>
      </c>
      <c r="F7" s="89" t="s">
        <v>376</v>
      </c>
      <c r="G7" s="89" t="b">
        <v>0</v>
      </c>
      <c r="H7" s="89" t="b">
        <v>0</v>
      </c>
      <c r="I7" s="89" t="b">
        <v>0</v>
      </c>
      <c r="J7" s="89" t="b">
        <v>0</v>
      </c>
      <c r="K7" s="89" t="b">
        <v>0</v>
      </c>
      <c r="L7" s="89" t="b">
        <v>0</v>
      </c>
    </row>
    <row r="8" spans="1:12" ht="15">
      <c r="A8" s="89" t="s">
        <v>331</v>
      </c>
      <c r="B8" s="89" t="s">
        <v>332</v>
      </c>
      <c r="C8" s="89">
        <v>2</v>
      </c>
      <c r="D8" s="113">
        <v>0</v>
      </c>
      <c r="E8" s="113">
        <v>0.8450980400142568</v>
      </c>
      <c r="F8" s="89" t="s">
        <v>305</v>
      </c>
      <c r="G8" s="89" t="b">
        <v>1</v>
      </c>
      <c r="H8" s="89" t="b">
        <v>0</v>
      </c>
      <c r="I8" s="89" t="b">
        <v>0</v>
      </c>
      <c r="J8" s="89" t="b">
        <v>0</v>
      </c>
      <c r="K8" s="89" t="b">
        <v>0</v>
      </c>
      <c r="L8" s="89" t="b">
        <v>0</v>
      </c>
    </row>
    <row r="9" spans="1:12" ht="15">
      <c r="A9" s="89" t="s">
        <v>332</v>
      </c>
      <c r="B9" s="89" t="s">
        <v>333</v>
      </c>
      <c r="C9" s="89">
        <v>2</v>
      </c>
      <c r="D9" s="113">
        <v>0</v>
      </c>
      <c r="E9" s="113">
        <v>0.8450980400142568</v>
      </c>
      <c r="F9" s="89" t="s">
        <v>305</v>
      </c>
      <c r="G9" s="89" t="b">
        <v>0</v>
      </c>
      <c r="H9" s="89" t="b">
        <v>0</v>
      </c>
      <c r="I9" s="89" t="b">
        <v>0</v>
      </c>
      <c r="J9" s="89" t="b">
        <v>0</v>
      </c>
      <c r="K9" s="89" t="b">
        <v>0</v>
      </c>
      <c r="L9" s="89" t="b">
        <v>0</v>
      </c>
    </row>
    <row r="10" spans="1:12" ht="15">
      <c r="A10" s="89" t="s">
        <v>333</v>
      </c>
      <c r="B10" s="89" t="s">
        <v>334</v>
      </c>
      <c r="C10" s="89">
        <v>2</v>
      </c>
      <c r="D10" s="113">
        <v>0</v>
      </c>
      <c r="E10" s="113">
        <v>0.8450980400142568</v>
      </c>
      <c r="F10" s="89" t="s">
        <v>305</v>
      </c>
      <c r="G10" s="89" t="b">
        <v>0</v>
      </c>
      <c r="H10" s="89" t="b">
        <v>0</v>
      </c>
      <c r="I10" s="89" t="b">
        <v>0</v>
      </c>
      <c r="J10" s="89" t="b">
        <v>0</v>
      </c>
      <c r="K10" s="89" t="b">
        <v>0</v>
      </c>
      <c r="L10" s="89" t="b">
        <v>0</v>
      </c>
    </row>
    <row r="11" spans="1:12" ht="15">
      <c r="A11" s="89" t="s">
        <v>334</v>
      </c>
      <c r="B11" s="89" t="s">
        <v>335</v>
      </c>
      <c r="C11" s="89">
        <v>2</v>
      </c>
      <c r="D11" s="113">
        <v>0</v>
      </c>
      <c r="E11" s="113">
        <v>0.8450980400142568</v>
      </c>
      <c r="F11" s="89" t="s">
        <v>305</v>
      </c>
      <c r="G11" s="89" t="b">
        <v>0</v>
      </c>
      <c r="H11" s="89" t="b">
        <v>0</v>
      </c>
      <c r="I11" s="89" t="b">
        <v>0</v>
      </c>
      <c r="J11" s="89" t="b">
        <v>0</v>
      </c>
      <c r="K11" s="89" t="b">
        <v>0</v>
      </c>
      <c r="L11" s="89" t="b">
        <v>0</v>
      </c>
    </row>
    <row r="12" spans="1:12" ht="15">
      <c r="A12" s="89" t="s">
        <v>335</v>
      </c>
      <c r="B12" s="89" t="s">
        <v>337</v>
      </c>
      <c r="C12" s="89">
        <v>2</v>
      </c>
      <c r="D12" s="113">
        <v>0</v>
      </c>
      <c r="E12" s="113">
        <v>0.8450980400142568</v>
      </c>
      <c r="F12" s="89" t="s">
        <v>305</v>
      </c>
      <c r="G12" s="89" t="b">
        <v>0</v>
      </c>
      <c r="H12" s="89" t="b">
        <v>0</v>
      </c>
      <c r="I12" s="89" t="b">
        <v>0</v>
      </c>
      <c r="J12" s="89" t="b">
        <v>0</v>
      </c>
      <c r="K12" s="89" t="b">
        <v>0</v>
      </c>
      <c r="L12" s="89" t="b">
        <v>0</v>
      </c>
    </row>
    <row r="13" spans="1:12" ht="15">
      <c r="A13" s="89" t="s">
        <v>337</v>
      </c>
      <c r="B13" s="89" t="s">
        <v>338</v>
      </c>
      <c r="C13" s="89">
        <v>2</v>
      </c>
      <c r="D13" s="113">
        <v>0</v>
      </c>
      <c r="E13" s="113">
        <v>0.8450980400142568</v>
      </c>
      <c r="F13" s="89" t="s">
        <v>305</v>
      </c>
      <c r="G13" s="89" t="b">
        <v>0</v>
      </c>
      <c r="H13" s="89" t="b">
        <v>0</v>
      </c>
      <c r="I13" s="89" t="b">
        <v>0</v>
      </c>
      <c r="J13" s="89" t="b">
        <v>0</v>
      </c>
      <c r="K13" s="89" t="b">
        <v>0</v>
      </c>
      <c r="L13"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400</v>
      </c>
      <c r="B2" s="116" t="s">
        <v>401</v>
      </c>
      <c r="C2" s="67" t="s">
        <v>402</v>
      </c>
    </row>
    <row r="3" spans="1:3" ht="15">
      <c r="A3" s="115" t="s">
        <v>305</v>
      </c>
      <c r="B3" s="115" t="s">
        <v>305</v>
      </c>
      <c r="C3" s="35">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421</v>
      </c>
      <c r="B1" s="13" t="s">
        <v>17</v>
      </c>
    </row>
    <row r="2" spans="1:2" ht="15">
      <c r="A2" s="83" t="s">
        <v>422</v>
      </c>
      <c r="B2" s="83" t="s">
        <v>428</v>
      </c>
    </row>
    <row r="3" spans="1:2" ht="15">
      <c r="A3" s="83" t="s">
        <v>423</v>
      </c>
      <c r="B3" s="83" t="s">
        <v>429</v>
      </c>
    </row>
    <row r="4" spans="1:2" ht="15">
      <c r="A4" s="83" t="s">
        <v>424</v>
      </c>
      <c r="B4" s="83" t="s">
        <v>430</v>
      </c>
    </row>
    <row r="5" spans="1:2" ht="15">
      <c r="A5" s="83" t="s">
        <v>425</v>
      </c>
      <c r="B5" s="83" t="s">
        <v>431</v>
      </c>
    </row>
    <row r="6" spans="1:2" ht="15">
      <c r="A6" s="83" t="s">
        <v>426</v>
      </c>
      <c r="B6" s="83" t="s">
        <v>432</v>
      </c>
    </row>
    <row r="7" spans="1:2" ht="15">
      <c r="A7" s="83" t="s">
        <v>427</v>
      </c>
      <c r="B7" s="83" t="s">
        <v>429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304</v>
      </c>
      <c r="BB2" s="13" t="s">
        <v>308</v>
      </c>
      <c r="BC2" s="13" t="s">
        <v>309</v>
      </c>
      <c r="BD2" s="67" t="s">
        <v>389</v>
      </c>
      <c r="BE2" s="67" t="s">
        <v>390</v>
      </c>
      <c r="BF2" s="67" t="s">
        <v>391</v>
      </c>
      <c r="BG2" s="67" t="s">
        <v>392</v>
      </c>
      <c r="BH2" s="67" t="s">
        <v>393</v>
      </c>
      <c r="BI2" s="67" t="s">
        <v>394</v>
      </c>
      <c r="BJ2" s="67" t="s">
        <v>395</v>
      </c>
      <c r="BK2" s="67" t="s">
        <v>396</v>
      </c>
      <c r="BL2" s="67" t="s">
        <v>397</v>
      </c>
    </row>
    <row r="3" spans="1:64" ht="15" customHeight="1">
      <c r="A3" s="82" t="s">
        <v>212</v>
      </c>
      <c r="B3" s="82" t="s">
        <v>212</v>
      </c>
      <c r="C3" s="52"/>
      <c r="D3" s="53"/>
      <c r="E3" s="65"/>
      <c r="F3" s="54"/>
      <c r="G3" s="52"/>
      <c r="H3" s="56"/>
      <c r="I3" s="55"/>
      <c r="J3" s="55"/>
      <c r="K3" s="35" t="s">
        <v>65</v>
      </c>
      <c r="L3" s="61">
        <v>3</v>
      </c>
      <c r="M3" s="61"/>
      <c r="N3" s="62"/>
      <c r="O3" s="83" t="s">
        <v>176</v>
      </c>
      <c r="P3" s="85">
        <v>42219.25900462963</v>
      </c>
      <c r="Q3" s="83" t="s">
        <v>215</v>
      </c>
      <c r="R3" s="87" t="s">
        <v>217</v>
      </c>
      <c r="S3" s="83" t="s">
        <v>218</v>
      </c>
      <c r="T3" s="83" t="s">
        <v>219</v>
      </c>
      <c r="U3" s="87" t="s">
        <v>220</v>
      </c>
      <c r="V3" s="87" t="s">
        <v>220</v>
      </c>
      <c r="W3" s="85">
        <v>42219.25900462963</v>
      </c>
      <c r="X3" s="87" t="s">
        <v>222</v>
      </c>
      <c r="Y3" s="83"/>
      <c r="Z3" s="83"/>
      <c r="AA3" s="89" t="s">
        <v>224</v>
      </c>
      <c r="AB3" s="83"/>
      <c r="AC3" s="83" t="b">
        <v>0</v>
      </c>
      <c r="AD3" s="83">
        <v>1</v>
      </c>
      <c r="AE3" s="89" t="s">
        <v>226</v>
      </c>
      <c r="AF3" s="83" t="b">
        <v>0</v>
      </c>
      <c r="AG3" s="83" t="s">
        <v>227</v>
      </c>
      <c r="AH3" s="83"/>
      <c r="AI3" s="89" t="s">
        <v>226</v>
      </c>
      <c r="AJ3" s="83" t="b">
        <v>0</v>
      </c>
      <c r="AK3" s="83">
        <v>1</v>
      </c>
      <c r="AL3" s="89" t="s">
        <v>226</v>
      </c>
      <c r="AM3" s="83" t="s">
        <v>228</v>
      </c>
      <c r="AN3" s="83" t="b">
        <v>0</v>
      </c>
      <c r="AO3" s="89" t="s">
        <v>224</v>
      </c>
      <c r="AP3" s="83" t="s">
        <v>230</v>
      </c>
      <c r="AQ3" s="83">
        <v>0</v>
      </c>
      <c r="AR3" s="83">
        <v>0</v>
      </c>
      <c r="AS3" s="83"/>
      <c r="AT3" s="83"/>
      <c r="AU3" s="83"/>
      <c r="AV3" s="83"/>
      <c r="AW3" s="83"/>
      <c r="AX3" s="83"/>
      <c r="AY3" s="83"/>
      <c r="AZ3" s="83"/>
      <c r="BA3">
        <v>1</v>
      </c>
      <c r="BB3" s="83" t="str">
        <f>REPLACE(INDEX(GroupVertices[Group],MATCH(Edges25[[#This Row],[Vertex 1]],GroupVertices[Vertex],0)),1,1,"")</f>
        <v>1</v>
      </c>
      <c r="BC3" s="83" t="str">
        <f>REPLACE(INDEX(GroupVertices[Group],MATCH(Edges25[[#This Row],[Vertex 2]],GroupVertices[Vertex],0)),1,1,"")</f>
        <v>1</v>
      </c>
      <c r="BD3" s="50">
        <v>1</v>
      </c>
      <c r="BE3" s="51">
        <v>14.285714285714286</v>
      </c>
      <c r="BF3" s="50">
        <v>0</v>
      </c>
      <c r="BG3" s="51">
        <v>0</v>
      </c>
      <c r="BH3" s="50">
        <v>0</v>
      </c>
      <c r="BI3" s="51">
        <v>0</v>
      </c>
      <c r="BJ3" s="50">
        <v>6</v>
      </c>
      <c r="BK3" s="51">
        <v>85.71428571428571</v>
      </c>
      <c r="BL3" s="50">
        <v>7</v>
      </c>
    </row>
    <row r="4" spans="1:64" ht="15" customHeight="1">
      <c r="A4" s="82" t="s">
        <v>213</v>
      </c>
      <c r="B4" s="82" t="s">
        <v>212</v>
      </c>
      <c r="C4" s="52"/>
      <c r="D4" s="53"/>
      <c r="E4" s="65"/>
      <c r="F4" s="54"/>
      <c r="G4" s="52"/>
      <c r="H4" s="56"/>
      <c r="I4" s="55"/>
      <c r="J4" s="55"/>
      <c r="K4" s="35" t="s">
        <v>65</v>
      </c>
      <c r="L4" s="81">
        <v>4</v>
      </c>
      <c r="M4" s="81"/>
      <c r="N4" s="62"/>
      <c r="O4" s="84" t="s">
        <v>214</v>
      </c>
      <c r="P4" s="86">
        <v>43733.7290162037</v>
      </c>
      <c r="Q4" s="84" t="s">
        <v>216</v>
      </c>
      <c r="R4" s="88" t="s">
        <v>217</v>
      </c>
      <c r="S4" s="84" t="s">
        <v>218</v>
      </c>
      <c r="T4" s="84" t="s">
        <v>219</v>
      </c>
      <c r="U4" s="84"/>
      <c r="V4" s="88" t="s">
        <v>221</v>
      </c>
      <c r="W4" s="86">
        <v>43733.7290162037</v>
      </c>
      <c r="X4" s="88" t="s">
        <v>223</v>
      </c>
      <c r="Y4" s="84"/>
      <c r="Z4" s="84"/>
      <c r="AA4" s="90" t="s">
        <v>225</v>
      </c>
      <c r="AB4" s="84"/>
      <c r="AC4" s="84" t="b">
        <v>0</v>
      </c>
      <c r="AD4" s="84">
        <v>0</v>
      </c>
      <c r="AE4" s="90" t="s">
        <v>226</v>
      </c>
      <c r="AF4" s="84" t="b">
        <v>0</v>
      </c>
      <c r="AG4" s="84" t="s">
        <v>227</v>
      </c>
      <c r="AH4" s="84"/>
      <c r="AI4" s="90" t="s">
        <v>226</v>
      </c>
      <c r="AJ4" s="84" t="b">
        <v>0</v>
      </c>
      <c r="AK4" s="84">
        <v>0</v>
      </c>
      <c r="AL4" s="90" t="s">
        <v>224</v>
      </c>
      <c r="AM4" s="84" t="s">
        <v>229</v>
      </c>
      <c r="AN4" s="84" t="b">
        <v>0</v>
      </c>
      <c r="AO4" s="90" t="s">
        <v>224</v>
      </c>
      <c r="AP4" s="84" t="s">
        <v>176</v>
      </c>
      <c r="AQ4" s="84">
        <v>0</v>
      </c>
      <c r="AR4" s="84">
        <v>0</v>
      </c>
      <c r="AS4" s="84"/>
      <c r="AT4" s="84"/>
      <c r="AU4" s="84"/>
      <c r="AV4" s="84"/>
      <c r="AW4" s="84"/>
      <c r="AX4" s="84"/>
      <c r="AY4" s="84"/>
      <c r="AZ4" s="84"/>
      <c r="BA4">
        <v>1</v>
      </c>
      <c r="BB4" s="83" t="str">
        <f>REPLACE(INDEX(GroupVertices[Group],MATCH(Edges25[[#This Row],[Vertex 1]],GroupVertices[Vertex],0)),1,1,"")</f>
        <v>1</v>
      </c>
      <c r="BC4" s="83" t="str">
        <f>REPLACE(INDEX(GroupVertices[Group],MATCH(Edges25[[#This Row],[Vertex 2]],GroupVertices[Vertex],0)),1,1,"")</f>
        <v>1</v>
      </c>
      <c r="BD4" s="50">
        <v>1</v>
      </c>
      <c r="BE4" s="51">
        <v>10</v>
      </c>
      <c r="BF4" s="50">
        <v>0</v>
      </c>
      <c r="BG4" s="51">
        <v>0</v>
      </c>
      <c r="BH4" s="50">
        <v>0</v>
      </c>
      <c r="BI4" s="51">
        <v>0</v>
      </c>
      <c r="BJ4" s="50">
        <v>9</v>
      </c>
      <c r="BK4" s="51">
        <v>90</v>
      </c>
      <c r="BL4" s="50">
        <v>10</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www.knightfoundation.org/challenges/knight-news-challenge"/>
    <hyperlink ref="R4" r:id="rId2" display="https://www.knightfoundation.org/challenges/knight-news-challenge"/>
    <hyperlink ref="U3" r:id="rId3" display="https://pbs.twimg.com/media/CLdpAkVUEAALSqJ.jpg"/>
    <hyperlink ref="V3" r:id="rId4" display="https://pbs.twimg.com/media/CLdpAkVUEAALSqJ.jpg"/>
    <hyperlink ref="V4" r:id="rId5" display="http://abs.twimg.com/sticky/default_profile_images/default_profile_normal.png"/>
    <hyperlink ref="X3" r:id="rId6" display="https://twitter.com/#!/elizarovaranchi/status/628086135474880513"/>
    <hyperlink ref="X4" r:id="rId7" display="https://twitter.com/#!/bablu31422473/status/1176911687879815168"/>
  </hyperlinks>
  <printOptions/>
  <pageMargins left="0.7" right="0.7" top="0.75" bottom="0.75" header="0.3" footer="0.3"/>
  <pageSetup horizontalDpi="600" verticalDpi="600" orientation="portrait" r:id="rId11"/>
  <legacyDrawing r:id="rId9"/>
  <tableParts>
    <tablePart r:id="rId1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433</v>
      </c>
      <c r="B1" s="13" t="s">
        <v>34</v>
      </c>
    </row>
    <row r="2" spans="1:2" ht="15">
      <c r="A2" s="108" t="s">
        <v>213</v>
      </c>
      <c r="B2" s="83">
        <v>0</v>
      </c>
    </row>
    <row r="3" spans="1:2" ht="15">
      <c r="A3" s="108" t="s">
        <v>212</v>
      </c>
      <c r="B3"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8" t="s">
        <v>435</v>
      </c>
      <c r="B25" t="s">
        <v>434</v>
      </c>
    </row>
    <row r="26" spans="1:2" ht="15">
      <c r="A26" s="119">
        <v>42219.25900462963</v>
      </c>
      <c r="B26" s="3">
        <v>1</v>
      </c>
    </row>
    <row r="27" spans="1:2" ht="15">
      <c r="A27" s="119">
        <v>43733.7290162037</v>
      </c>
      <c r="B27" s="3">
        <v>1</v>
      </c>
    </row>
    <row r="28" spans="1:2" ht="15">
      <c r="A28" s="119" t="s">
        <v>436</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192</v>
      </c>
      <c r="AT2" s="13" t="s">
        <v>246</v>
      </c>
      <c r="AU2" s="13" t="s">
        <v>247</v>
      </c>
      <c r="AV2" s="13" t="s">
        <v>248</v>
      </c>
      <c r="AW2" s="13" t="s">
        <v>249</v>
      </c>
      <c r="AX2" s="13" t="s">
        <v>250</v>
      </c>
      <c r="AY2" s="13" t="s">
        <v>251</v>
      </c>
      <c r="AZ2" s="13" t="s">
        <v>307</v>
      </c>
      <c r="BA2" s="110" t="s">
        <v>361</v>
      </c>
      <c r="BB2" s="110" t="s">
        <v>362</v>
      </c>
      <c r="BC2" s="110" t="s">
        <v>363</v>
      </c>
      <c r="BD2" s="110" t="s">
        <v>364</v>
      </c>
      <c r="BE2" s="110" t="s">
        <v>365</v>
      </c>
      <c r="BF2" s="110" t="s">
        <v>366</v>
      </c>
      <c r="BG2" s="110" t="s">
        <v>367</v>
      </c>
      <c r="BH2" s="110" t="s">
        <v>369</v>
      </c>
      <c r="BI2" s="110" t="s">
        <v>370</v>
      </c>
      <c r="BJ2" s="110" t="s">
        <v>372</v>
      </c>
      <c r="BK2" s="110" t="s">
        <v>389</v>
      </c>
      <c r="BL2" s="110" t="s">
        <v>390</v>
      </c>
      <c r="BM2" s="110" t="s">
        <v>391</v>
      </c>
      <c r="BN2" s="110" t="s">
        <v>392</v>
      </c>
      <c r="BO2" s="110" t="s">
        <v>393</v>
      </c>
      <c r="BP2" s="110" t="s">
        <v>394</v>
      </c>
      <c r="BQ2" s="110" t="s">
        <v>395</v>
      </c>
      <c r="BR2" s="110" t="s">
        <v>396</v>
      </c>
      <c r="BS2" s="110" t="s">
        <v>398</v>
      </c>
      <c r="BT2" s="3"/>
      <c r="BU2" s="3"/>
    </row>
    <row r="3" spans="1:73" ht="15" customHeight="1">
      <c r="A3" s="49" t="s">
        <v>212</v>
      </c>
      <c r="B3" s="52"/>
      <c r="C3" s="52" t="s">
        <v>64</v>
      </c>
      <c r="D3" s="53">
        <v>1000</v>
      </c>
      <c r="E3" s="54"/>
      <c r="F3" s="104" t="s">
        <v>260</v>
      </c>
      <c r="G3" s="52"/>
      <c r="H3" s="56" t="s">
        <v>212</v>
      </c>
      <c r="I3" s="55"/>
      <c r="J3" s="55"/>
      <c r="K3" s="106" t="s">
        <v>264</v>
      </c>
      <c r="L3" s="58">
        <v>1</v>
      </c>
      <c r="M3" s="59">
        <v>4999.5</v>
      </c>
      <c r="N3" s="59">
        <v>7322.796875</v>
      </c>
      <c r="O3" s="57"/>
      <c r="P3" s="60"/>
      <c r="Q3" s="60"/>
      <c r="R3" s="50"/>
      <c r="S3" s="50">
        <v>2</v>
      </c>
      <c r="T3" s="50">
        <v>1</v>
      </c>
      <c r="U3" s="51">
        <v>0</v>
      </c>
      <c r="V3" s="51">
        <v>1</v>
      </c>
      <c r="W3" s="51">
        <v>0.618034</v>
      </c>
      <c r="X3" s="51">
        <v>1.297868</v>
      </c>
      <c r="Y3" s="51">
        <v>0</v>
      </c>
      <c r="Z3" s="51">
        <v>0</v>
      </c>
      <c r="AA3" s="61">
        <v>3</v>
      </c>
      <c r="AB3" s="61"/>
      <c r="AC3" s="62"/>
      <c r="AD3" s="83" t="s">
        <v>252</v>
      </c>
      <c r="AE3" s="83">
        <v>31</v>
      </c>
      <c r="AF3" s="83">
        <v>71</v>
      </c>
      <c r="AG3" s="83">
        <v>41</v>
      </c>
      <c r="AH3" s="83">
        <v>0</v>
      </c>
      <c r="AI3" s="83"/>
      <c r="AJ3" s="83" t="s">
        <v>254</v>
      </c>
      <c r="AK3" s="83" t="s">
        <v>256</v>
      </c>
      <c r="AL3" s="87" t="s">
        <v>257</v>
      </c>
      <c r="AM3" s="83"/>
      <c r="AN3" s="85">
        <v>42193.74491898148</v>
      </c>
      <c r="AO3" s="87" t="s">
        <v>258</v>
      </c>
      <c r="AP3" s="83" t="b">
        <v>1</v>
      </c>
      <c r="AQ3" s="83" t="b">
        <v>0</v>
      </c>
      <c r="AR3" s="83" t="b">
        <v>0</v>
      </c>
      <c r="AS3" s="83"/>
      <c r="AT3" s="83">
        <v>0</v>
      </c>
      <c r="AU3" s="87" t="s">
        <v>259</v>
      </c>
      <c r="AV3" s="83" t="b">
        <v>0</v>
      </c>
      <c r="AW3" s="83" t="s">
        <v>261</v>
      </c>
      <c r="AX3" s="87" t="s">
        <v>262</v>
      </c>
      <c r="AY3" s="83" t="s">
        <v>66</v>
      </c>
      <c r="AZ3" s="83" t="str">
        <f>REPLACE(INDEX(GroupVertices[Group],MATCH(Vertices[[#This Row],[Vertex]],GroupVertices[Vertex],0)),1,1,"")</f>
        <v>1</v>
      </c>
      <c r="BA3" s="50" t="s">
        <v>217</v>
      </c>
      <c r="BB3" s="50" t="s">
        <v>217</v>
      </c>
      <c r="BC3" s="50" t="s">
        <v>218</v>
      </c>
      <c r="BD3" s="50" t="s">
        <v>218</v>
      </c>
      <c r="BE3" s="50" t="s">
        <v>219</v>
      </c>
      <c r="BF3" s="50" t="s">
        <v>219</v>
      </c>
      <c r="BG3" s="111" t="s">
        <v>340</v>
      </c>
      <c r="BH3" s="111" t="s">
        <v>340</v>
      </c>
      <c r="BI3" s="111" t="s">
        <v>350</v>
      </c>
      <c r="BJ3" s="111" t="s">
        <v>350</v>
      </c>
      <c r="BK3" s="111">
        <v>1</v>
      </c>
      <c r="BL3" s="114">
        <v>14.285714285714286</v>
      </c>
      <c r="BM3" s="111">
        <v>0</v>
      </c>
      <c r="BN3" s="114">
        <v>0</v>
      </c>
      <c r="BO3" s="111">
        <v>0</v>
      </c>
      <c r="BP3" s="114">
        <v>0</v>
      </c>
      <c r="BQ3" s="111">
        <v>6</v>
      </c>
      <c r="BR3" s="114">
        <v>85.71428571428571</v>
      </c>
      <c r="BS3" s="111">
        <v>7</v>
      </c>
      <c r="BT3" s="3"/>
      <c r="BU3" s="3"/>
    </row>
    <row r="4" spans="1:76" ht="15">
      <c r="A4" s="91" t="s">
        <v>213</v>
      </c>
      <c r="B4" s="92"/>
      <c r="C4" s="92" t="s">
        <v>64</v>
      </c>
      <c r="D4" s="93">
        <v>162</v>
      </c>
      <c r="E4" s="94"/>
      <c r="F4" s="105" t="s">
        <v>221</v>
      </c>
      <c r="G4" s="92"/>
      <c r="H4" s="95" t="s">
        <v>213</v>
      </c>
      <c r="I4" s="96"/>
      <c r="J4" s="96"/>
      <c r="K4" s="107" t="s">
        <v>265</v>
      </c>
      <c r="L4" s="97">
        <v>1</v>
      </c>
      <c r="M4" s="98">
        <v>4999.5</v>
      </c>
      <c r="N4" s="98">
        <v>2676.202880859375</v>
      </c>
      <c r="O4" s="99"/>
      <c r="P4" s="100"/>
      <c r="Q4" s="100"/>
      <c r="R4" s="101"/>
      <c r="S4" s="50">
        <v>0</v>
      </c>
      <c r="T4" s="50">
        <v>1</v>
      </c>
      <c r="U4" s="51">
        <v>0</v>
      </c>
      <c r="V4" s="51">
        <v>1</v>
      </c>
      <c r="W4" s="51">
        <v>0.381966</v>
      </c>
      <c r="X4" s="51">
        <v>0.701566</v>
      </c>
      <c r="Y4" s="51">
        <v>0</v>
      </c>
      <c r="Z4" s="51">
        <v>0</v>
      </c>
      <c r="AA4" s="102">
        <v>4</v>
      </c>
      <c r="AB4" s="102"/>
      <c r="AC4" s="103"/>
      <c r="AD4" s="83" t="s">
        <v>253</v>
      </c>
      <c r="AE4" s="83">
        <v>0</v>
      </c>
      <c r="AF4" s="83">
        <v>0</v>
      </c>
      <c r="AG4" s="83">
        <v>1</v>
      </c>
      <c r="AH4" s="83">
        <v>0</v>
      </c>
      <c r="AI4" s="83"/>
      <c r="AJ4" s="83" t="s">
        <v>255</v>
      </c>
      <c r="AK4" s="83"/>
      <c r="AL4" s="83"/>
      <c r="AM4" s="83"/>
      <c r="AN4" s="85">
        <v>43733.72804398148</v>
      </c>
      <c r="AO4" s="83"/>
      <c r="AP4" s="83" t="b">
        <v>1</v>
      </c>
      <c r="AQ4" s="83" t="b">
        <v>0</v>
      </c>
      <c r="AR4" s="83" t="b">
        <v>0</v>
      </c>
      <c r="AS4" s="83"/>
      <c r="AT4" s="83">
        <v>0</v>
      </c>
      <c r="AU4" s="83"/>
      <c r="AV4" s="83" t="b">
        <v>0</v>
      </c>
      <c r="AW4" s="83" t="s">
        <v>261</v>
      </c>
      <c r="AX4" s="87" t="s">
        <v>263</v>
      </c>
      <c r="AY4" s="83" t="s">
        <v>66</v>
      </c>
      <c r="AZ4" s="83" t="str">
        <f>REPLACE(INDEX(GroupVertices[Group],MATCH(Vertices[[#This Row],[Vertex]],GroupVertices[Vertex],0)),1,1,"")</f>
        <v>1</v>
      </c>
      <c r="BA4" s="50" t="s">
        <v>217</v>
      </c>
      <c r="BB4" s="50" t="s">
        <v>217</v>
      </c>
      <c r="BC4" s="50" t="s">
        <v>218</v>
      </c>
      <c r="BD4" s="50" t="s">
        <v>218</v>
      </c>
      <c r="BE4" s="50" t="s">
        <v>219</v>
      </c>
      <c r="BF4" s="50" t="s">
        <v>219</v>
      </c>
      <c r="BG4" s="111" t="s">
        <v>368</v>
      </c>
      <c r="BH4" s="111" t="s">
        <v>368</v>
      </c>
      <c r="BI4" s="111" t="s">
        <v>371</v>
      </c>
      <c r="BJ4" s="111" t="s">
        <v>371</v>
      </c>
      <c r="BK4" s="111">
        <v>1</v>
      </c>
      <c r="BL4" s="114">
        <v>10</v>
      </c>
      <c r="BM4" s="111">
        <v>0</v>
      </c>
      <c r="BN4" s="114">
        <v>0</v>
      </c>
      <c r="BO4" s="111">
        <v>0</v>
      </c>
      <c r="BP4" s="114">
        <v>0</v>
      </c>
      <c r="BQ4" s="111">
        <v>9</v>
      </c>
      <c r="BR4" s="114">
        <v>90</v>
      </c>
      <c r="BS4" s="111">
        <v>10</v>
      </c>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t.co/uerM8BwRvz"/>
    <hyperlink ref="AO3" r:id="rId2" display="https://pbs.twimg.com/profile_banners/3366251757/1436378287"/>
    <hyperlink ref="AU3" r:id="rId3" display="http://abs.twimg.com/images/themes/theme1/bg.png"/>
    <hyperlink ref="F3" r:id="rId4" display="http://pbs.twimg.com/profile_images/618840919765184512/DWpml5hw_normal.jpg"/>
    <hyperlink ref="F4" r:id="rId5" display="http://abs.twimg.com/sticky/default_profile_images/default_profile_normal.png"/>
    <hyperlink ref="AX3" r:id="rId6" display="https://twitter.com/elizarovaranchi"/>
    <hyperlink ref="AX4" r:id="rId7" display="https://twitter.com/bablu31422473"/>
  </hyperlinks>
  <printOptions/>
  <pageMargins left="0.7" right="0.7" top="0.75" bottom="0.75" header="0.3" footer="0.3"/>
  <pageSetup horizontalDpi="600" verticalDpi="600" orientation="portrait" r:id="rId11"/>
  <legacyDrawing r:id="rId9"/>
  <tableParts>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314</v>
      </c>
      <c r="Z2" s="13" t="s">
        <v>317</v>
      </c>
      <c r="AA2" s="13" t="s">
        <v>324</v>
      </c>
      <c r="AB2" s="13" t="s">
        <v>339</v>
      </c>
      <c r="AC2" s="13" t="s">
        <v>349</v>
      </c>
      <c r="AD2" s="13" t="s">
        <v>355</v>
      </c>
      <c r="AE2" s="13" t="s">
        <v>356</v>
      </c>
      <c r="AF2" s="13" t="s">
        <v>359</v>
      </c>
      <c r="AG2" s="67" t="s">
        <v>389</v>
      </c>
      <c r="AH2" s="67" t="s">
        <v>390</v>
      </c>
      <c r="AI2" s="67" t="s">
        <v>391</v>
      </c>
      <c r="AJ2" s="67" t="s">
        <v>392</v>
      </c>
      <c r="AK2" s="67" t="s">
        <v>393</v>
      </c>
      <c r="AL2" s="67" t="s">
        <v>394</v>
      </c>
      <c r="AM2" s="67" t="s">
        <v>395</v>
      </c>
      <c r="AN2" s="67" t="s">
        <v>396</v>
      </c>
      <c r="AO2" s="67" t="s">
        <v>399</v>
      </c>
    </row>
    <row r="3" spans="1:41" ht="15">
      <c r="A3" s="82" t="s">
        <v>305</v>
      </c>
      <c r="B3" s="109" t="s">
        <v>306</v>
      </c>
      <c r="C3" s="109" t="s">
        <v>56</v>
      </c>
      <c r="D3" s="14"/>
      <c r="E3" s="14"/>
      <c r="F3" s="15" t="s">
        <v>438</v>
      </c>
      <c r="G3" s="77"/>
      <c r="H3" s="77"/>
      <c r="I3" s="63">
        <v>3</v>
      </c>
      <c r="J3" s="63"/>
      <c r="K3" s="50">
        <v>2</v>
      </c>
      <c r="L3" s="50">
        <v>2</v>
      </c>
      <c r="M3" s="50">
        <v>0</v>
      </c>
      <c r="N3" s="50">
        <v>2</v>
      </c>
      <c r="O3" s="50">
        <v>1</v>
      </c>
      <c r="P3" s="51">
        <v>0</v>
      </c>
      <c r="Q3" s="51">
        <v>0</v>
      </c>
      <c r="R3" s="50">
        <v>1</v>
      </c>
      <c r="S3" s="50">
        <v>0</v>
      </c>
      <c r="T3" s="50">
        <v>2</v>
      </c>
      <c r="U3" s="50">
        <v>2</v>
      </c>
      <c r="V3" s="50">
        <v>1</v>
      </c>
      <c r="W3" s="51">
        <v>0.5</v>
      </c>
      <c r="X3" s="51">
        <v>0.5</v>
      </c>
      <c r="Y3" s="83" t="s">
        <v>217</v>
      </c>
      <c r="Z3" s="83" t="s">
        <v>218</v>
      </c>
      <c r="AA3" s="83" t="s">
        <v>219</v>
      </c>
      <c r="AB3" s="89" t="s">
        <v>340</v>
      </c>
      <c r="AC3" s="89" t="s">
        <v>350</v>
      </c>
      <c r="AD3" s="89"/>
      <c r="AE3" s="89" t="s">
        <v>212</v>
      </c>
      <c r="AF3" s="89" t="s">
        <v>360</v>
      </c>
      <c r="AG3" s="111">
        <v>2</v>
      </c>
      <c r="AH3" s="114">
        <v>11.764705882352942</v>
      </c>
      <c r="AI3" s="111">
        <v>0</v>
      </c>
      <c r="AJ3" s="114">
        <v>0</v>
      </c>
      <c r="AK3" s="111">
        <v>0</v>
      </c>
      <c r="AL3" s="114">
        <v>0</v>
      </c>
      <c r="AM3" s="111">
        <v>15</v>
      </c>
      <c r="AN3" s="114">
        <v>88.23529411764706</v>
      </c>
      <c r="AO3" s="111">
        <v>17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305</v>
      </c>
      <c r="B2" s="89" t="s">
        <v>213</v>
      </c>
      <c r="C2" s="83">
        <f>VLOOKUP(GroupVertices[[#This Row],[Vertex]],Vertices[],MATCH("ID",Vertices[[#Headers],[Vertex]:[Vertex Content Word Count]],0),FALSE)</f>
        <v>4</v>
      </c>
    </row>
    <row r="3" spans="1:3" ht="15">
      <c r="A3" s="83" t="s">
        <v>305</v>
      </c>
      <c r="B3" s="89" t="s">
        <v>212</v>
      </c>
      <c r="C3" s="83">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3"/>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403</v>
      </c>
      <c r="B2" s="35" t="s">
        <v>266</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7"/>
      <c r="B3" s="117"/>
      <c r="D3" s="33">
        <f aca="true" t="shared" si="1" ref="D3:D26">D2+($D$57-$D$2)/BinDivisor</f>
        <v>0</v>
      </c>
      <c r="E3" s="3">
        <f>COUNTIF(Vertices[Degree],"&gt;= "&amp;D3)-COUNTIF(Vertices[Degree],"&gt;="&amp;D4)</f>
        <v>0</v>
      </c>
      <c r="F3" s="40">
        <f aca="true" t="shared" si="2" ref="F3:F26">F2+($F$57-$F$2)/BinDivisor</f>
        <v>0.03636363636363636</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0.38625814545454545</v>
      </c>
      <c r="O3" s="41">
        <f>COUNTIF(Vertices[Eigenvector Centrality],"&gt;= "&amp;N3)-COUNTIF(Vertices[Eigenvector Centrality],"&gt;="&amp;N4)</f>
        <v>0</v>
      </c>
      <c r="P3" s="40">
        <f aca="true" t="shared" si="7" ref="P3:P26">P2+($P$57-$P$2)/BinDivisor</f>
        <v>0.7124078545454545</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0.07272727272727272</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0.3905502909090909</v>
      </c>
      <c r="O4" s="39">
        <f>COUNTIF(Vertices[Eigenvector Centrality],"&gt;= "&amp;N4)-COUNTIF(Vertices[Eigenvector Centrality],"&gt;="&amp;N5)</f>
        <v>0</v>
      </c>
      <c r="P4" s="38">
        <f t="shared" si="7"/>
        <v>0.723249709090909</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7"/>
      <c r="B5" s="117"/>
      <c r="D5" s="33">
        <f t="shared" si="1"/>
        <v>0</v>
      </c>
      <c r="E5" s="3">
        <f>COUNTIF(Vertices[Degree],"&gt;= "&amp;D5)-COUNTIF(Vertices[Degree],"&gt;="&amp;D6)</f>
        <v>0</v>
      </c>
      <c r="F5" s="40">
        <f t="shared" si="2"/>
        <v>0.10909090909090909</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0.3948424363636363</v>
      </c>
      <c r="O5" s="41">
        <f>COUNTIF(Vertices[Eigenvector Centrality],"&gt;= "&amp;N5)-COUNTIF(Vertices[Eigenvector Centrality],"&gt;="&amp;N6)</f>
        <v>0</v>
      </c>
      <c r="P5" s="40">
        <f t="shared" si="7"/>
        <v>0.7340915636363635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v>
      </c>
      <c r="D6" s="33">
        <f t="shared" si="1"/>
        <v>0</v>
      </c>
      <c r="E6" s="3">
        <f>COUNTIF(Vertices[Degree],"&gt;= "&amp;D6)-COUNTIF(Vertices[Degree],"&gt;="&amp;D7)</f>
        <v>0</v>
      </c>
      <c r="F6" s="38">
        <f t="shared" si="2"/>
        <v>0.14545454545454545</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0.39913458181818173</v>
      </c>
      <c r="O6" s="39">
        <f>COUNTIF(Vertices[Eigenvector Centrality],"&gt;= "&amp;N6)-COUNTIF(Vertices[Eigenvector Centrality],"&gt;="&amp;N7)</f>
        <v>0</v>
      </c>
      <c r="P6" s="38">
        <f t="shared" si="7"/>
        <v>0.744933418181818</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0.18181818181818182</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0.40342672727272716</v>
      </c>
      <c r="O7" s="41">
        <f>COUNTIF(Vertices[Eigenvector Centrality],"&gt;= "&amp;N7)-COUNTIF(Vertices[Eigenvector Centrality],"&gt;="&amp;N8)</f>
        <v>0</v>
      </c>
      <c r="P7" s="40">
        <f t="shared" si="7"/>
        <v>0.7557752727272725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0.2181818181818182</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0.4077188727272726</v>
      </c>
      <c r="O8" s="39">
        <f>COUNTIF(Vertices[Eigenvector Centrality],"&gt;= "&amp;N8)-COUNTIF(Vertices[Eigenvector Centrality],"&gt;="&amp;N9)</f>
        <v>0</v>
      </c>
      <c r="P8" s="38">
        <f t="shared" si="7"/>
        <v>0.766617127272727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7"/>
      <c r="B9" s="117"/>
      <c r="D9" s="33">
        <f t="shared" si="1"/>
        <v>0</v>
      </c>
      <c r="E9" s="3">
        <f>COUNTIF(Vertices[Degree],"&gt;= "&amp;D9)-COUNTIF(Vertices[Degree],"&gt;="&amp;D10)</f>
        <v>0</v>
      </c>
      <c r="F9" s="40">
        <f t="shared" si="2"/>
        <v>0.2545454545454546</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0.412011018181818</v>
      </c>
      <c r="O9" s="41">
        <f>COUNTIF(Vertices[Eigenvector Centrality],"&gt;= "&amp;N9)-COUNTIF(Vertices[Eigenvector Centrality],"&gt;="&amp;N10)</f>
        <v>0</v>
      </c>
      <c r="P9" s="40">
        <f t="shared" si="7"/>
        <v>0.7774589818181815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404</v>
      </c>
      <c r="B10" s="35">
        <v>2</v>
      </c>
      <c r="D10" s="33">
        <f t="shared" si="1"/>
        <v>0</v>
      </c>
      <c r="E10" s="3">
        <f>COUNTIF(Vertices[Degree],"&gt;= "&amp;D10)-COUNTIF(Vertices[Degree],"&gt;="&amp;D11)</f>
        <v>0</v>
      </c>
      <c r="F10" s="38">
        <f t="shared" si="2"/>
        <v>0.29090909090909095</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0.41630316363636344</v>
      </c>
      <c r="O10" s="39">
        <f>COUNTIF(Vertices[Eigenvector Centrality],"&gt;= "&amp;N10)-COUNTIF(Vertices[Eigenvector Centrality],"&gt;="&amp;N11)</f>
        <v>0</v>
      </c>
      <c r="P10" s="38">
        <f t="shared" si="7"/>
        <v>0.788300836363636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7"/>
      <c r="B11" s="117"/>
      <c r="D11" s="33">
        <f t="shared" si="1"/>
        <v>0</v>
      </c>
      <c r="E11" s="3">
        <f>COUNTIF(Vertices[Degree],"&gt;= "&amp;D11)-COUNTIF(Vertices[Degree],"&gt;="&amp;D12)</f>
        <v>0</v>
      </c>
      <c r="F11" s="40">
        <f t="shared" si="2"/>
        <v>0.3272727272727273</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0.42059530909090886</v>
      </c>
      <c r="O11" s="41">
        <f>COUNTIF(Vertices[Eigenvector Centrality],"&gt;= "&amp;N11)-COUNTIF(Vertices[Eigenvector Centrality],"&gt;="&amp;N12)</f>
        <v>0</v>
      </c>
      <c r="P11" s="40">
        <f t="shared" si="7"/>
        <v>0.7991426909090905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214</v>
      </c>
      <c r="B12" s="35">
        <v>1</v>
      </c>
      <c r="D12" s="33">
        <f t="shared" si="1"/>
        <v>0</v>
      </c>
      <c r="E12" s="3">
        <f>COUNTIF(Vertices[Degree],"&gt;= "&amp;D12)-COUNTIF(Vertices[Degree],"&gt;="&amp;D13)</f>
        <v>0</v>
      </c>
      <c r="F12" s="38">
        <f t="shared" si="2"/>
        <v>0.3636363636363637</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0.4248874545454543</v>
      </c>
      <c r="O12" s="39">
        <f>COUNTIF(Vertices[Eigenvector Centrality],"&gt;= "&amp;N12)-COUNTIF(Vertices[Eigenvector Centrality],"&gt;="&amp;N13)</f>
        <v>0</v>
      </c>
      <c r="P12" s="38">
        <f t="shared" si="7"/>
        <v>0.809984545454545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176</v>
      </c>
      <c r="B13" s="35">
        <v>1</v>
      </c>
      <c r="D13" s="33">
        <f t="shared" si="1"/>
        <v>0</v>
      </c>
      <c r="E13" s="3">
        <f>COUNTIF(Vertices[Degree],"&gt;= "&amp;D13)-COUNTIF(Vertices[Degree],"&gt;="&amp;D14)</f>
        <v>0</v>
      </c>
      <c r="F13" s="40">
        <f t="shared" si="2"/>
        <v>0.4000000000000001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0.4291795999999997</v>
      </c>
      <c r="O13" s="41">
        <f>COUNTIF(Vertices[Eigenvector Centrality],"&gt;= "&amp;N13)-COUNTIF(Vertices[Eigenvector Centrality],"&gt;="&amp;N14)</f>
        <v>0</v>
      </c>
      <c r="P13" s="40">
        <f t="shared" si="7"/>
        <v>0.8208263999999995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7"/>
      <c r="B14" s="117"/>
      <c r="D14" s="33">
        <f t="shared" si="1"/>
        <v>0</v>
      </c>
      <c r="E14" s="3">
        <f>COUNTIF(Vertices[Degree],"&gt;= "&amp;D14)-COUNTIF(Vertices[Degree],"&gt;="&amp;D15)</f>
        <v>0</v>
      </c>
      <c r="F14" s="38">
        <f t="shared" si="2"/>
        <v>0.43636363636363645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0.43347174545454514</v>
      </c>
      <c r="O14" s="39">
        <f>COUNTIF(Vertices[Eigenvector Centrality],"&gt;= "&amp;N14)-COUNTIF(Vertices[Eigenvector Centrality],"&gt;="&amp;N15)</f>
        <v>0</v>
      </c>
      <c r="P14" s="38">
        <f t="shared" si="7"/>
        <v>0.831668254545454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1</v>
      </c>
      <c r="D15" s="33">
        <f t="shared" si="1"/>
        <v>0</v>
      </c>
      <c r="E15" s="3">
        <f>COUNTIF(Vertices[Degree],"&gt;= "&amp;D15)-COUNTIF(Vertices[Degree],"&gt;="&amp;D16)</f>
        <v>0</v>
      </c>
      <c r="F15" s="40">
        <f t="shared" si="2"/>
        <v>0.47272727272727283</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0.43776389090909057</v>
      </c>
      <c r="O15" s="41">
        <f>COUNTIF(Vertices[Eigenvector Centrality],"&gt;= "&amp;N15)-COUNTIF(Vertices[Eigenvector Centrality],"&gt;="&amp;N16)</f>
        <v>0</v>
      </c>
      <c r="P15" s="40">
        <f t="shared" si="7"/>
        <v>0.8425101090909085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7"/>
      <c r="B16" s="117"/>
      <c r="D16" s="33">
        <f t="shared" si="1"/>
        <v>0</v>
      </c>
      <c r="E16" s="3">
        <f>COUNTIF(Vertices[Degree],"&gt;= "&amp;D16)-COUNTIF(Vertices[Degree],"&gt;="&amp;D17)</f>
        <v>0</v>
      </c>
      <c r="F16" s="38">
        <f t="shared" si="2"/>
        <v>0.5090909090909091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0.442056036363636</v>
      </c>
      <c r="O16" s="39">
        <f>COUNTIF(Vertices[Eigenvector Centrality],"&gt;= "&amp;N16)-COUNTIF(Vertices[Eigenvector Centrality],"&gt;="&amp;N17)</f>
        <v>0</v>
      </c>
      <c r="P16" s="38">
        <f t="shared" si="7"/>
        <v>0.853351963636363</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0.5454545454545455</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0.4463481818181814</v>
      </c>
      <c r="O17" s="41">
        <f>COUNTIF(Vertices[Eigenvector Centrality],"&gt;= "&amp;N17)-COUNTIF(Vertices[Eigenvector Centrality],"&gt;="&amp;N18)</f>
        <v>0</v>
      </c>
      <c r="P17" s="40">
        <f t="shared" si="7"/>
        <v>0.8641938181818175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0.5818181818181819</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0.45064032727272685</v>
      </c>
      <c r="O18" s="39">
        <f>COUNTIF(Vertices[Eigenvector Centrality],"&gt;= "&amp;N18)-COUNTIF(Vertices[Eigenvector Centrality],"&gt;="&amp;N19)</f>
        <v>0</v>
      </c>
      <c r="P18" s="38">
        <f t="shared" si="7"/>
        <v>0.875035672727272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7"/>
      <c r="B19" s="117"/>
      <c r="D19" s="33">
        <f t="shared" si="1"/>
        <v>0</v>
      </c>
      <c r="E19" s="3">
        <f>COUNTIF(Vertices[Degree],"&gt;= "&amp;D19)-COUNTIF(Vertices[Degree],"&gt;="&amp;D20)</f>
        <v>0</v>
      </c>
      <c r="F19" s="40">
        <f t="shared" si="2"/>
        <v>0.6181818181818183</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0.4549324727272723</v>
      </c>
      <c r="O19" s="41">
        <f>COUNTIF(Vertices[Eigenvector Centrality],"&gt;= "&amp;N19)-COUNTIF(Vertices[Eigenvector Centrality],"&gt;="&amp;N20)</f>
        <v>0</v>
      </c>
      <c r="P19" s="40">
        <f t="shared" si="7"/>
        <v>0.8858775272727265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0.6545454545454547</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0.4592246181818177</v>
      </c>
      <c r="O20" s="39">
        <f>COUNTIF(Vertices[Eigenvector Centrality],"&gt;= "&amp;N20)-COUNTIF(Vertices[Eigenvector Centrality],"&gt;="&amp;N21)</f>
        <v>0</v>
      </c>
      <c r="P20" s="38">
        <f t="shared" si="7"/>
        <v>0.896719381818181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0.690909090909091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0.4635167636363631</v>
      </c>
      <c r="O21" s="41">
        <f>COUNTIF(Vertices[Eigenvector Centrality],"&gt;= "&amp;N21)-COUNTIF(Vertices[Eigenvector Centrality],"&gt;="&amp;N22)</f>
        <v>0</v>
      </c>
      <c r="P21" s="40">
        <f t="shared" si="7"/>
        <v>0.9075612363636355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2</v>
      </c>
      <c r="D22" s="33">
        <f t="shared" si="1"/>
        <v>0</v>
      </c>
      <c r="E22" s="3">
        <f>COUNTIF(Vertices[Degree],"&gt;= "&amp;D22)-COUNTIF(Vertices[Degree],"&gt;="&amp;D23)</f>
        <v>0</v>
      </c>
      <c r="F22" s="38">
        <f t="shared" si="2"/>
        <v>0.7272727272727274</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0.46780890909090855</v>
      </c>
      <c r="O22" s="39">
        <f>COUNTIF(Vertices[Eigenvector Centrality],"&gt;= "&amp;N22)-COUNTIF(Vertices[Eigenvector Centrality],"&gt;="&amp;N23)</f>
        <v>0</v>
      </c>
      <c r="P22" s="38">
        <f t="shared" si="7"/>
        <v>0.91840309090909</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2</v>
      </c>
      <c r="D23" s="33">
        <f t="shared" si="1"/>
        <v>0</v>
      </c>
      <c r="E23" s="3">
        <f>COUNTIF(Vertices[Degree],"&gt;= "&amp;D23)-COUNTIF(Vertices[Degree],"&gt;="&amp;D24)</f>
        <v>0</v>
      </c>
      <c r="F23" s="40">
        <f t="shared" si="2"/>
        <v>0.7636363636363638</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0.472101054545454</v>
      </c>
      <c r="O23" s="41">
        <f>COUNTIF(Vertices[Eigenvector Centrality],"&gt;= "&amp;N23)-COUNTIF(Vertices[Eigenvector Centrality],"&gt;="&amp;N24)</f>
        <v>0</v>
      </c>
      <c r="P23" s="40">
        <f t="shared" si="7"/>
        <v>0.9292449454545445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117"/>
      <c r="B24" s="117"/>
      <c r="D24" s="33">
        <f t="shared" si="1"/>
        <v>0</v>
      </c>
      <c r="E24" s="3">
        <f>COUNTIF(Vertices[Degree],"&gt;= "&amp;D24)-COUNTIF(Vertices[Degree],"&gt;="&amp;D25)</f>
        <v>0</v>
      </c>
      <c r="F24" s="38">
        <f t="shared" si="2"/>
        <v>0.8000000000000002</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0.4763931999999994</v>
      </c>
      <c r="O24" s="39">
        <f>COUNTIF(Vertices[Eigenvector Centrality],"&gt;= "&amp;N24)-COUNTIF(Vertices[Eigenvector Centrality],"&gt;="&amp;N25)</f>
        <v>0</v>
      </c>
      <c r="P24" s="38">
        <f t="shared" si="7"/>
        <v>0.940086799999999</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1</v>
      </c>
      <c r="D25" s="33">
        <f t="shared" si="1"/>
        <v>0</v>
      </c>
      <c r="E25" s="3">
        <f>COUNTIF(Vertices[Degree],"&gt;= "&amp;D25)-COUNTIF(Vertices[Degree],"&gt;="&amp;D26)</f>
        <v>0</v>
      </c>
      <c r="F25" s="40">
        <f t="shared" si="2"/>
        <v>0.8363636363636365</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0.48068534545454483</v>
      </c>
      <c r="O25" s="41">
        <f>COUNTIF(Vertices[Eigenvector Centrality],"&gt;= "&amp;N25)-COUNTIF(Vertices[Eigenvector Centrality],"&gt;="&amp;N26)</f>
        <v>0</v>
      </c>
      <c r="P25" s="40">
        <f t="shared" si="7"/>
        <v>0.9509286545454535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0.5</v>
      </c>
      <c r="D26" s="33">
        <f t="shared" si="1"/>
        <v>0</v>
      </c>
      <c r="E26" s="3">
        <f>COUNTIF(Vertices[Degree],"&gt;= "&amp;D26)-COUNTIF(Vertices[Degree],"&gt;="&amp;D28)</f>
        <v>0</v>
      </c>
      <c r="F26" s="38">
        <f t="shared" si="2"/>
        <v>0.8727272727272729</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0.48497749090909026</v>
      </c>
      <c r="O26" s="39">
        <f>COUNTIF(Vertices[Eigenvector Centrality],"&gt;= "&amp;N26)-COUNTIF(Vertices[Eigenvector Centrality],"&gt;="&amp;N28)</f>
        <v>0</v>
      </c>
      <c r="P26" s="38">
        <f t="shared" si="7"/>
        <v>0.961770509090908</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7"/>
      <c r="B27" s="117"/>
      <c r="D27" s="33"/>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158</v>
      </c>
      <c r="B28" s="35">
        <v>0.5</v>
      </c>
      <c r="D28" s="33">
        <f>D26+($D$57-$D$2)/BinDivisor</f>
        <v>0</v>
      </c>
      <c r="E28" s="3">
        <f>COUNTIF(Vertices[Degree],"&gt;= "&amp;D28)-COUNTIF(Vertices[Degree],"&gt;="&amp;D40)</f>
        <v>0</v>
      </c>
      <c r="F28" s="40">
        <f>F26+($F$57-$F$2)/BinDivisor</f>
        <v>0.9090909090909093</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0.4892696363636357</v>
      </c>
      <c r="O28" s="41">
        <f>COUNTIF(Vertices[Eigenvector Centrality],"&gt;= "&amp;N28)-COUNTIF(Vertices[Eigenvector Centrality],"&gt;="&amp;N40)</f>
        <v>0</v>
      </c>
      <c r="P28" s="40">
        <f>P26+($P$57-$P$2)/BinDivisor</f>
        <v>0.9726123636363625</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35" t="s">
        <v>405</v>
      </c>
      <c r="B29" s="35">
        <v>0.1875</v>
      </c>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17"/>
      <c r="B30" s="117"/>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406</v>
      </c>
      <c r="B31" s="35" t="s">
        <v>420</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17"/>
      <c r="B32" s="117"/>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407</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17"/>
      <c r="B34" s="117"/>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408</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409</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410</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411</v>
      </c>
      <c r="B38" s="35" t="s">
        <v>85</v>
      </c>
      <c r="D38" s="33"/>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1:21" ht="15">
      <c r="A39" s="35" t="s">
        <v>412</v>
      </c>
      <c r="B39" s="35" t="s">
        <v>85</v>
      </c>
      <c r="D39" s="33"/>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1:21" ht="15">
      <c r="A40" s="35" t="s">
        <v>413</v>
      </c>
      <c r="B40" s="35" t="s">
        <v>85</v>
      </c>
      <c r="D40" s="33">
        <f>D28+($D$57-$D$2)/BinDivisor</f>
        <v>0</v>
      </c>
      <c r="E40" s="3">
        <f>COUNTIF(Vertices[Degree],"&gt;= "&amp;D40)-COUNTIF(Vertices[Degree],"&gt;="&amp;D41)</f>
        <v>0</v>
      </c>
      <c r="F40" s="38">
        <f>F28+($F$57-$F$2)/BinDivisor</f>
        <v>0.9454545454545457</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0.4935617818181811</v>
      </c>
      <c r="O40" s="39">
        <f>COUNTIF(Vertices[Eigenvector Centrality],"&gt;= "&amp;N40)-COUNTIF(Vertices[Eigenvector Centrality],"&gt;="&amp;N41)</f>
        <v>0</v>
      </c>
      <c r="P40" s="38">
        <f>P28+($P$57-$P$2)/BinDivisor</f>
        <v>0.983454218181817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414</v>
      </c>
      <c r="B41" s="35" t="s">
        <v>85</v>
      </c>
      <c r="D41" s="33">
        <f aca="true" t="shared" si="10" ref="D41:D56">D40+($D$57-$D$2)/BinDivisor</f>
        <v>0</v>
      </c>
      <c r="E41" s="3">
        <f>COUNTIF(Vertices[Degree],"&gt;= "&amp;D41)-COUNTIF(Vertices[Degree],"&gt;="&amp;D42)</f>
        <v>0</v>
      </c>
      <c r="F41" s="40">
        <f aca="true" t="shared" si="11" ref="F41:F56">F40+($F$57-$F$2)/BinDivisor</f>
        <v>0.981818181818182</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0.49785392727272654</v>
      </c>
      <c r="O41" s="41">
        <f>COUNTIF(Vertices[Eigenvector Centrality],"&gt;= "&amp;N41)-COUNTIF(Vertices[Eigenvector Centrality],"&gt;="&amp;N42)</f>
        <v>0</v>
      </c>
      <c r="P41" s="40">
        <f aca="true" t="shared" si="16" ref="P41:P56">P40+($P$57-$P$2)/BinDivisor</f>
        <v>0.9942960727272715</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415</v>
      </c>
      <c r="B42" s="35" t="s">
        <v>85</v>
      </c>
      <c r="D42" s="33">
        <f t="shared" si="10"/>
        <v>0</v>
      </c>
      <c r="E42" s="3">
        <f>COUNTIF(Vertices[Degree],"&gt;= "&amp;D42)-COUNTIF(Vertices[Degree],"&gt;="&amp;D43)</f>
        <v>0</v>
      </c>
      <c r="F42" s="38">
        <f t="shared" si="11"/>
        <v>1.0181818181818183</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0.502146072727272</v>
      </c>
      <c r="O42" s="39">
        <f>COUNTIF(Vertices[Eigenvector Centrality],"&gt;= "&amp;N42)-COUNTIF(Vertices[Eigenvector Centrality],"&gt;="&amp;N43)</f>
        <v>0</v>
      </c>
      <c r="P42" s="38">
        <f t="shared" si="16"/>
        <v>1.005137927272726</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5" t="s">
        <v>416</v>
      </c>
      <c r="B43" s="35" t="s">
        <v>85</v>
      </c>
      <c r="D43" s="33">
        <f t="shared" si="10"/>
        <v>0</v>
      </c>
      <c r="E43" s="3">
        <f>COUNTIF(Vertices[Degree],"&gt;= "&amp;D43)-COUNTIF(Vertices[Degree],"&gt;="&amp;D44)</f>
        <v>0</v>
      </c>
      <c r="F43" s="40">
        <f t="shared" si="11"/>
        <v>1.0545454545454547</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0.5064382181818174</v>
      </c>
      <c r="O43" s="41">
        <f>COUNTIF(Vertices[Eigenvector Centrality],"&gt;= "&amp;N43)-COUNTIF(Vertices[Eigenvector Centrality],"&gt;="&amp;N44)</f>
        <v>0</v>
      </c>
      <c r="P43" s="40">
        <f t="shared" si="16"/>
        <v>1.0159797818181806</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5" t="s">
        <v>21</v>
      </c>
      <c r="B44" s="35" t="s">
        <v>85</v>
      </c>
      <c r="D44" s="33">
        <f t="shared" si="10"/>
        <v>0</v>
      </c>
      <c r="E44" s="3">
        <f>COUNTIF(Vertices[Degree],"&gt;= "&amp;D44)-COUNTIF(Vertices[Degree],"&gt;="&amp;D45)</f>
        <v>0</v>
      </c>
      <c r="F44" s="38">
        <f t="shared" si="11"/>
        <v>1.090909090909091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0.5107303636363629</v>
      </c>
      <c r="O44" s="39">
        <f>COUNTIF(Vertices[Eigenvector Centrality],"&gt;= "&amp;N44)-COUNTIF(Vertices[Eigenvector Centrality],"&gt;="&amp;N45)</f>
        <v>0</v>
      </c>
      <c r="P44" s="38">
        <f t="shared" si="16"/>
        <v>1.026821636363635</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417</v>
      </c>
      <c r="B45" s="35" t="s">
        <v>85</v>
      </c>
      <c r="D45" s="33">
        <f t="shared" si="10"/>
        <v>0</v>
      </c>
      <c r="E45" s="3">
        <f>COUNTIF(Vertices[Degree],"&gt;= "&amp;D45)-COUNTIF(Vertices[Degree],"&gt;="&amp;D46)</f>
        <v>0</v>
      </c>
      <c r="F45" s="40">
        <f t="shared" si="11"/>
        <v>1.1272727272727274</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0.5150225090909084</v>
      </c>
      <c r="O45" s="41">
        <f>COUNTIF(Vertices[Eigenvector Centrality],"&gt;= "&amp;N45)-COUNTIF(Vertices[Eigenvector Centrality],"&gt;="&amp;N46)</f>
        <v>0</v>
      </c>
      <c r="P45" s="40">
        <f t="shared" si="16"/>
        <v>1.0376634909090896</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418</v>
      </c>
      <c r="B46" s="35" t="s">
        <v>85</v>
      </c>
      <c r="D46" s="33">
        <f t="shared" si="10"/>
        <v>0</v>
      </c>
      <c r="E46" s="3">
        <f>COUNTIF(Vertices[Degree],"&gt;= "&amp;D46)-COUNTIF(Vertices[Degree],"&gt;="&amp;D47)</f>
        <v>0</v>
      </c>
      <c r="F46" s="38">
        <f t="shared" si="11"/>
        <v>1.1636363636363638</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0.5193146545454539</v>
      </c>
      <c r="O46" s="39">
        <f>COUNTIF(Vertices[Eigenvector Centrality],"&gt;= "&amp;N46)-COUNTIF(Vertices[Eigenvector Centrality],"&gt;="&amp;N47)</f>
        <v>0</v>
      </c>
      <c r="P46" s="38">
        <f t="shared" si="16"/>
        <v>1.048505345454544</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t="s">
        <v>419</v>
      </c>
      <c r="B47" s="35" t="s">
        <v>85</v>
      </c>
      <c r="D47" s="33">
        <f t="shared" si="10"/>
        <v>0</v>
      </c>
      <c r="E47" s="3">
        <f>COUNTIF(Vertices[Degree],"&gt;= "&amp;D47)-COUNTIF(Vertices[Degree],"&gt;="&amp;D48)</f>
        <v>0</v>
      </c>
      <c r="F47" s="40">
        <f t="shared" si="11"/>
        <v>1.2000000000000002</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0.5236067999999994</v>
      </c>
      <c r="O47" s="41">
        <f>COUNTIF(Vertices[Eigenvector Centrality],"&gt;= "&amp;N47)-COUNTIF(Vertices[Eigenvector Centrality],"&gt;="&amp;N48)</f>
        <v>0</v>
      </c>
      <c r="P47" s="40">
        <f t="shared" si="16"/>
        <v>1.0593471999999986</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t="s">
        <v>163</v>
      </c>
      <c r="B48" t="s">
        <v>17</v>
      </c>
      <c r="D48" s="33">
        <f t="shared" si="10"/>
        <v>0</v>
      </c>
      <c r="E48" s="3">
        <f>COUNTIF(Vertices[Degree],"&gt;= "&amp;D48)-COUNTIF(Vertices[Degree],"&gt;="&amp;D49)</f>
        <v>0</v>
      </c>
      <c r="F48" s="38">
        <f t="shared" si="11"/>
        <v>1.2363636363636366</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0.5278989454545449</v>
      </c>
      <c r="O48" s="39">
        <f>COUNTIF(Vertices[Eigenvector Centrality],"&gt;= "&amp;N48)-COUNTIF(Vertices[Eigenvector Centrality],"&gt;="&amp;N49)</f>
        <v>0</v>
      </c>
      <c r="P48" s="38">
        <f t="shared" si="16"/>
        <v>1.070189054545453</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4"/>
      <c r="B49" s="34"/>
      <c r="D49" s="33">
        <f t="shared" si="10"/>
        <v>0</v>
      </c>
      <c r="E49" s="3">
        <f>COUNTIF(Vertices[Degree],"&gt;= "&amp;D49)-COUNTIF(Vertices[Degree],"&gt;="&amp;D50)</f>
        <v>0</v>
      </c>
      <c r="F49" s="40">
        <f t="shared" si="11"/>
        <v>1.272727272727273</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0.5321910909090903</v>
      </c>
      <c r="O49" s="41">
        <f>COUNTIF(Vertices[Eigenvector Centrality],"&gt;= "&amp;N49)-COUNTIF(Vertices[Eigenvector Centrality],"&gt;="&amp;N50)</f>
        <v>0</v>
      </c>
      <c r="P49" s="40">
        <f t="shared" si="16"/>
        <v>1.0810309090909076</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1:21" ht="15">
      <c r="A50" s="34"/>
      <c r="B50" s="34"/>
      <c r="D50" s="33">
        <f t="shared" si="10"/>
        <v>0</v>
      </c>
      <c r="E50" s="3">
        <f>COUNTIF(Vertices[Degree],"&gt;= "&amp;D50)-COUNTIF(Vertices[Degree],"&gt;="&amp;D51)</f>
        <v>0</v>
      </c>
      <c r="F50" s="38">
        <f t="shared" si="11"/>
        <v>1.3090909090909093</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0.5364832363636358</v>
      </c>
      <c r="O50" s="39">
        <f>COUNTIF(Vertices[Eigenvector Centrality],"&gt;= "&amp;N50)-COUNTIF(Vertices[Eigenvector Centrality],"&gt;="&amp;N51)</f>
        <v>0</v>
      </c>
      <c r="P50" s="38">
        <f t="shared" si="16"/>
        <v>1.091872763636362</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1:21" ht="15">
      <c r="A51" s="34"/>
      <c r="B51" s="34"/>
      <c r="D51" s="33">
        <f t="shared" si="10"/>
        <v>0</v>
      </c>
      <c r="E51" s="3">
        <f>COUNTIF(Vertices[Degree],"&gt;= "&amp;D51)-COUNTIF(Vertices[Degree],"&gt;="&amp;D52)</f>
        <v>0</v>
      </c>
      <c r="F51" s="40">
        <f t="shared" si="11"/>
        <v>1.3454545454545457</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0.5407753818181813</v>
      </c>
      <c r="O51" s="41">
        <f>COUNTIF(Vertices[Eigenvector Centrality],"&gt;= "&amp;N51)-COUNTIF(Vertices[Eigenvector Centrality],"&gt;="&amp;N52)</f>
        <v>0</v>
      </c>
      <c r="P51" s="40">
        <f t="shared" si="16"/>
        <v>1.1027146181818166</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1.381818181818182</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0.5450675272727268</v>
      </c>
      <c r="O52" s="39">
        <f>COUNTIF(Vertices[Eigenvector Centrality],"&gt;= "&amp;N52)-COUNTIF(Vertices[Eigenvector Centrality],"&gt;="&amp;N53)</f>
        <v>0</v>
      </c>
      <c r="P52" s="38">
        <f t="shared" si="16"/>
        <v>1.113556472727271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1.4181818181818184</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0.5493596727272723</v>
      </c>
      <c r="O53" s="41">
        <f>COUNTIF(Vertices[Eigenvector Centrality],"&gt;= "&amp;N53)-COUNTIF(Vertices[Eigenvector Centrality],"&gt;="&amp;N54)</f>
        <v>0</v>
      </c>
      <c r="P53" s="40">
        <f t="shared" si="16"/>
        <v>1.1243983272727256</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1.4545454545454548</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0.5536518181818177</v>
      </c>
      <c r="O54" s="39">
        <f>COUNTIF(Vertices[Eigenvector Centrality],"&gt;= "&amp;N54)-COUNTIF(Vertices[Eigenvector Centrality],"&gt;="&amp;N55)</f>
        <v>0</v>
      </c>
      <c r="P54" s="38">
        <f t="shared" si="16"/>
        <v>1.13524018181818</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1.4909090909090912</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0.5579439636363632</v>
      </c>
      <c r="O55" s="41">
        <f>COUNTIF(Vertices[Eigenvector Centrality],"&gt;= "&amp;N55)-COUNTIF(Vertices[Eigenvector Centrality],"&gt;="&amp;N56)</f>
        <v>0</v>
      </c>
      <c r="P55" s="40">
        <f t="shared" si="16"/>
        <v>1.1460820363636346</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1.5272727272727276</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0.5622361090909087</v>
      </c>
      <c r="O56" s="39">
        <f>COUNTIF(Vertices[Eigenvector Centrality],"&gt;= "&amp;N56)-COUNTIF(Vertices[Eigenvector Centrality],"&gt;="&amp;N57)</f>
        <v>0</v>
      </c>
      <c r="P56" s="38">
        <f t="shared" si="16"/>
        <v>1.156923890909089</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4:21" ht="15">
      <c r="D57" s="33">
        <f>MAX(Vertices[Degree])</f>
        <v>0</v>
      </c>
      <c r="E57" s="3">
        <f>COUNTIF(Vertices[Degree],"&gt;= "&amp;D57)-COUNTIF(Vertices[Degree],"&gt;="&amp;D58)</f>
        <v>0</v>
      </c>
      <c r="F57" s="42">
        <f>MAX(Vertices[In-Degree])</f>
        <v>2</v>
      </c>
      <c r="G57" s="43">
        <f>COUNTIF(Vertices[In-Degree],"&gt;= "&amp;F57)-COUNTIF(Vertices[In-Degree],"&gt;="&amp;F58)</f>
        <v>1</v>
      </c>
      <c r="H57" s="42">
        <f>MAX(Vertices[Out-Degree])</f>
        <v>1</v>
      </c>
      <c r="I57" s="43">
        <f>COUNTIF(Vertices[Out-Degree],"&gt;= "&amp;H57)-COUNTIF(Vertices[Out-Degree],"&gt;="&amp;H58)</f>
        <v>2</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0.618034</v>
      </c>
      <c r="O57" s="43">
        <f>COUNTIF(Vertices[Eigenvector Centrality],"&gt;= "&amp;N57)-COUNTIF(Vertices[Eigenvector Centrality],"&gt;="&amp;N58)</f>
        <v>1</v>
      </c>
      <c r="P57" s="42">
        <f>MAX(Vertices[PageRank])</f>
        <v>1.297868</v>
      </c>
      <c r="Q57" s="43">
        <f>COUNTIF(Vertices[PageRank],"&gt;= "&amp;P57)-COUNTIF(Vertices[PageRank],"&gt;="&amp;P58)</f>
        <v>1</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62" spans="1:2" ht="15">
      <c r="A62" s="34" t="s">
        <v>81</v>
      </c>
      <c r="B62" s="47" t="str">
        <f>IF(COUNT(Vertices[Degree])&gt;0,D2,NoMetricMessage)</f>
        <v>Not Available</v>
      </c>
    </row>
    <row r="63" spans="1:2" ht="15">
      <c r="A63" s="34" t="s">
        <v>82</v>
      </c>
      <c r="B63" s="47" t="str">
        <f>IF(COUNT(Vertices[Degree])&gt;0,D57,NoMetricMessage)</f>
        <v>Not Available</v>
      </c>
    </row>
    <row r="64" spans="1:2" ht="15">
      <c r="A64" s="34" t="s">
        <v>83</v>
      </c>
      <c r="B64" s="48" t="str">
        <f>_xlfn.IFERROR(AVERAGE(Vertices[Degree]),NoMetricMessage)</f>
        <v>Not Available</v>
      </c>
    </row>
    <row r="65" spans="1:2" ht="15">
      <c r="A65" s="34" t="s">
        <v>84</v>
      </c>
      <c r="B65" s="48" t="str">
        <f>_xlfn.IFERROR(MEDIAN(Vertices[Degree]),NoMetricMessage)</f>
        <v>Not Available</v>
      </c>
    </row>
    <row r="76" spans="1:2" ht="15">
      <c r="A76" s="34" t="s">
        <v>88</v>
      </c>
      <c r="B76" s="47">
        <f>IF(COUNT(Vertices[In-Degree])&gt;0,F2,NoMetricMessage)</f>
        <v>0</v>
      </c>
    </row>
    <row r="77" spans="1:2" ht="15">
      <c r="A77" s="34" t="s">
        <v>89</v>
      </c>
      <c r="B77" s="47">
        <f>IF(COUNT(Vertices[In-Degree])&gt;0,F57,NoMetricMessage)</f>
        <v>2</v>
      </c>
    </row>
    <row r="78" spans="1:2" ht="15">
      <c r="A78" s="34" t="s">
        <v>90</v>
      </c>
      <c r="B78" s="48">
        <f>_xlfn.IFERROR(AVERAGE(Vertices[In-Degree]),NoMetricMessage)</f>
        <v>1</v>
      </c>
    </row>
    <row r="79" spans="1:2" ht="15">
      <c r="A79" s="34" t="s">
        <v>91</v>
      </c>
      <c r="B79" s="48">
        <f>_xlfn.IFERROR(MEDIAN(Vertices[In-Degree]),NoMetricMessage)</f>
        <v>1</v>
      </c>
    </row>
    <row r="90" spans="1:2" ht="15">
      <c r="A90" s="34" t="s">
        <v>94</v>
      </c>
      <c r="B90" s="47">
        <f>IF(COUNT(Vertices[Out-Degree])&gt;0,H2,NoMetricMessage)</f>
        <v>1</v>
      </c>
    </row>
    <row r="91" spans="1:2" ht="15">
      <c r="A91" s="34" t="s">
        <v>95</v>
      </c>
      <c r="B91" s="47">
        <f>IF(COUNT(Vertices[Out-Degree])&gt;0,H57,NoMetricMessage)</f>
        <v>1</v>
      </c>
    </row>
    <row r="92" spans="1:2" ht="15">
      <c r="A92" s="34" t="s">
        <v>96</v>
      </c>
      <c r="B92" s="48">
        <f>_xlfn.IFERROR(AVERAGE(Vertices[Out-Degree]),NoMetricMessage)</f>
        <v>1</v>
      </c>
    </row>
    <row r="93" spans="1:2" ht="15">
      <c r="A93" s="34" t="s">
        <v>97</v>
      </c>
      <c r="B93" s="48">
        <f>_xlfn.IFERROR(MEDIAN(Vertices[Out-Degree]),NoMetricMessage)</f>
        <v>1</v>
      </c>
    </row>
    <row r="104" spans="1:2" ht="15">
      <c r="A104" s="34" t="s">
        <v>100</v>
      </c>
      <c r="B104" s="48">
        <f>IF(COUNT(Vertices[Betweenness Centrality])&gt;0,J2,NoMetricMessage)</f>
        <v>0</v>
      </c>
    </row>
    <row r="105" spans="1:2" ht="15">
      <c r="A105" s="34" t="s">
        <v>101</v>
      </c>
      <c r="B105" s="48">
        <f>IF(COUNT(Vertices[Betweenness Centrality])&gt;0,J57,NoMetricMessage)</f>
        <v>0</v>
      </c>
    </row>
    <row r="106" spans="1:2" ht="15">
      <c r="A106" s="34" t="s">
        <v>102</v>
      </c>
      <c r="B106" s="48">
        <f>_xlfn.IFERROR(AVERAGE(Vertices[Betweenness Centrality]),NoMetricMessage)</f>
        <v>0</v>
      </c>
    </row>
    <row r="107" spans="1:2" ht="15">
      <c r="A107" s="34" t="s">
        <v>103</v>
      </c>
      <c r="B107" s="48">
        <f>_xlfn.IFERROR(MEDIAN(Vertices[Betweenness Centrality]),NoMetricMessage)</f>
        <v>0</v>
      </c>
    </row>
    <row r="118" spans="1:2" ht="15">
      <c r="A118" s="34" t="s">
        <v>106</v>
      </c>
      <c r="B118" s="48">
        <f>IF(COUNT(Vertices[Closeness Centrality])&gt;0,L2,NoMetricMessage)</f>
        <v>1</v>
      </c>
    </row>
    <row r="119" spans="1:2" ht="15">
      <c r="A119" s="34" t="s">
        <v>107</v>
      </c>
      <c r="B119" s="48">
        <f>IF(COUNT(Vertices[Closeness Centrality])&gt;0,L57,NoMetricMessage)</f>
        <v>1</v>
      </c>
    </row>
    <row r="120" spans="1:2" ht="15">
      <c r="A120" s="34" t="s">
        <v>108</v>
      </c>
      <c r="B120" s="48">
        <f>_xlfn.IFERROR(AVERAGE(Vertices[Closeness Centrality]),NoMetricMessage)</f>
        <v>1</v>
      </c>
    </row>
    <row r="121" spans="1:2" ht="15">
      <c r="A121" s="34" t="s">
        <v>109</v>
      </c>
      <c r="B121" s="48">
        <f>_xlfn.IFERROR(MEDIAN(Vertices[Closeness Centrality]),NoMetricMessage)</f>
        <v>1</v>
      </c>
    </row>
    <row r="132" spans="1:2" ht="15">
      <c r="A132" s="34" t="s">
        <v>112</v>
      </c>
      <c r="B132" s="48">
        <f>IF(COUNT(Vertices[Eigenvector Centrality])&gt;0,N2,NoMetricMessage)</f>
        <v>0.381966</v>
      </c>
    </row>
    <row r="133" spans="1:2" ht="15">
      <c r="A133" s="34" t="s">
        <v>113</v>
      </c>
      <c r="B133" s="48">
        <f>IF(COUNT(Vertices[Eigenvector Centrality])&gt;0,N57,NoMetricMessage)</f>
        <v>0.618034</v>
      </c>
    </row>
    <row r="134" spans="1:2" ht="15">
      <c r="A134" s="34" t="s">
        <v>114</v>
      </c>
      <c r="B134" s="48">
        <f>_xlfn.IFERROR(AVERAGE(Vertices[Eigenvector Centrality]),NoMetricMessage)</f>
        <v>0.5</v>
      </c>
    </row>
    <row r="135" spans="1:2" ht="15">
      <c r="A135" s="34" t="s">
        <v>115</v>
      </c>
      <c r="B135" s="48">
        <f>_xlfn.IFERROR(MEDIAN(Vertices[Eigenvector Centrality]),NoMetricMessage)</f>
        <v>0.5</v>
      </c>
    </row>
    <row r="146" spans="1:2" ht="15">
      <c r="A146" s="34" t="s">
        <v>140</v>
      </c>
      <c r="B146" s="48">
        <f>IF(COUNT(Vertices[PageRank])&gt;0,P2,NoMetricMessage)</f>
        <v>0.701566</v>
      </c>
    </row>
    <row r="147" spans="1:2" ht="15">
      <c r="A147" s="34" t="s">
        <v>141</v>
      </c>
      <c r="B147" s="48">
        <f>IF(COUNT(Vertices[PageRank])&gt;0,P57,NoMetricMessage)</f>
        <v>1.297868</v>
      </c>
    </row>
    <row r="148" spans="1:2" ht="15">
      <c r="A148" s="34" t="s">
        <v>142</v>
      </c>
      <c r="B148" s="48">
        <f>_xlfn.IFERROR(AVERAGE(Vertices[PageRank]),NoMetricMessage)</f>
        <v>0.999717</v>
      </c>
    </row>
    <row r="149" spans="1:2" ht="15">
      <c r="A149" s="34" t="s">
        <v>143</v>
      </c>
      <c r="B149" s="48">
        <f>_xlfn.IFERROR(MEDIAN(Vertices[PageRank]),NoMetricMessage)</f>
        <v>0.999717</v>
      </c>
    </row>
    <row r="160" spans="1:2" ht="15">
      <c r="A160" s="34" t="s">
        <v>118</v>
      </c>
      <c r="B160" s="48">
        <f>IF(COUNT(Vertices[Clustering Coefficient])&gt;0,R2,NoMetricMessage)</f>
        <v>0</v>
      </c>
    </row>
    <row r="161" spans="1:2" ht="15">
      <c r="A161" s="34" t="s">
        <v>119</v>
      </c>
      <c r="B161" s="48">
        <f>IF(COUNT(Vertices[Clustering Coefficient])&gt;0,R57,NoMetricMessage)</f>
        <v>0</v>
      </c>
    </row>
    <row r="162" spans="1:2" ht="15">
      <c r="A162" s="34" t="s">
        <v>120</v>
      </c>
      <c r="B162" s="48">
        <f>_xlfn.IFERROR(AVERAGE(Vertices[Clustering Coefficient]),NoMetricMessage)</f>
        <v>0</v>
      </c>
    </row>
    <row r="163" spans="1:2" ht="15">
      <c r="A163" s="34" t="s">
        <v>121</v>
      </c>
      <c r="B163"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268</v>
      </c>
      <c r="K7" s="13" t="s">
        <v>269</v>
      </c>
    </row>
    <row r="8" spans="1:11" ht="409.5">
      <c r="A8"/>
      <c r="B8">
        <v>2</v>
      </c>
      <c r="C8">
        <v>2</v>
      </c>
      <c r="D8" t="s">
        <v>61</v>
      </c>
      <c r="E8" t="s">
        <v>61</v>
      </c>
      <c r="H8" t="s">
        <v>73</v>
      </c>
      <c r="J8" t="s">
        <v>270</v>
      </c>
      <c r="K8" s="13" t="s">
        <v>271</v>
      </c>
    </row>
    <row r="9" spans="1:11" ht="409.5">
      <c r="A9"/>
      <c r="B9">
        <v>3</v>
      </c>
      <c r="C9">
        <v>4</v>
      </c>
      <c r="D9" t="s">
        <v>62</v>
      </c>
      <c r="E9" t="s">
        <v>62</v>
      </c>
      <c r="H9" t="s">
        <v>74</v>
      </c>
      <c r="J9" t="s">
        <v>272</v>
      </c>
      <c r="K9" s="13" t="s">
        <v>273</v>
      </c>
    </row>
    <row r="10" spans="1:11" ht="409.5">
      <c r="A10"/>
      <c r="B10">
        <v>4</v>
      </c>
      <c r="D10" t="s">
        <v>63</v>
      </c>
      <c r="E10" t="s">
        <v>63</v>
      </c>
      <c r="H10" t="s">
        <v>75</v>
      </c>
      <c r="J10" t="s">
        <v>274</v>
      </c>
      <c r="K10" s="13" t="s">
        <v>275</v>
      </c>
    </row>
    <row r="11" spans="1:11" ht="15">
      <c r="A11"/>
      <c r="B11">
        <v>5</v>
      </c>
      <c r="D11" t="s">
        <v>46</v>
      </c>
      <c r="E11">
        <v>1</v>
      </c>
      <c r="H11" t="s">
        <v>76</v>
      </c>
      <c r="J11" t="s">
        <v>276</v>
      </c>
      <c r="K11" t="s">
        <v>277</v>
      </c>
    </row>
    <row r="12" spans="1:11" ht="15">
      <c r="A12"/>
      <c r="B12"/>
      <c r="D12" t="s">
        <v>64</v>
      </c>
      <c r="E12">
        <v>2</v>
      </c>
      <c r="H12">
        <v>0</v>
      </c>
      <c r="J12" t="s">
        <v>278</v>
      </c>
      <c r="K12" t="s">
        <v>279</v>
      </c>
    </row>
    <row r="13" spans="1:11" ht="15">
      <c r="A13"/>
      <c r="B13"/>
      <c r="D13">
        <v>1</v>
      </c>
      <c r="E13">
        <v>3</v>
      </c>
      <c r="H13">
        <v>1</v>
      </c>
      <c r="J13" t="s">
        <v>280</v>
      </c>
      <c r="K13" t="s">
        <v>281</v>
      </c>
    </row>
    <row r="14" spans="4:11" ht="15">
      <c r="D14">
        <v>2</v>
      </c>
      <c r="E14">
        <v>4</v>
      </c>
      <c r="H14">
        <v>2</v>
      </c>
      <c r="J14" t="s">
        <v>282</v>
      </c>
      <c r="K14" t="s">
        <v>283</v>
      </c>
    </row>
    <row r="15" spans="4:11" ht="15">
      <c r="D15">
        <v>3</v>
      </c>
      <c r="E15">
        <v>5</v>
      </c>
      <c r="H15">
        <v>3</v>
      </c>
      <c r="J15" t="s">
        <v>284</v>
      </c>
      <c r="K15" t="s">
        <v>285</v>
      </c>
    </row>
    <row r="16" spans="4:11" ht="15">
      <c r="D16">
        <v>4</v>
      </c>
      <c r="E16">
        <v>6</v>
      </c>
      <c r="H16">
        <v>4</v>
      </c>
      <c r="J16" t="s">
        <v>286</v>
      </c>
      <c r="K16" t="s">
        <v>287</v>
      </c>
    </row>
    <row r="17" spans="4:11" ht="15">
      <c r="D17">
        <v>5</v>
      </c>
      <c r="E17">
        <v>7</v>
      </c>
      <c r="H17">
        <v>5</v>
      </c>
      <c r="J17" t="s">
        <v>288</v>
      </c>
      <c r="K17" t="s">
        <v>289</v>
      </c>
    </row>
    <row r="18" spans="4:11" ht="15">
      <c r="D18">
        <v>6</v>
      </c>
      <c r="E18">
        <v>8</v>
      </c>
      <c r="H18">
        <v>6</v>
      </c>
      <c r="J18" t="s">
        <v>290</v>
      </c>
      <c r="K18" t="s">
        <v>291</v>
      </c>
    </row>
    <row r="19" spans="4:11" ht="15">
      <c r="D19">
        <v>7</v>
      </c>
      <c r="E19">
        <v>9</v>
      </c>
      <c r="H19">
        <v>7</v>
      </c>
      <c r="J19" t="s">
        <v>292</v>
      </c>
      <c r="K19" t="s">
        <v>293</v>
      </c>
    </row>
    <row r="20" spans="4:11" ht="15">
      <c r="D20">
        <v>8</v>
      </c>
      <c r="H20">
        <v>8</v>
      </c>
      <c r="J20" t="s">
        <v>294</v>
      </c>
      <c r="K20" t="s">
        <v>295</v>
      </c>
    </row>
    <row r="21" spans="4:11" ht="409.5">
      <c r="D21">
        <v>9</v>
      </c>
      <c r="H21">
        <v>9</v>
      </c>
      <c r="J21" t="s">
        <v>296</v>
      </c>
      <c r="K21" s="13" t="s">
        <v>297</v>
      </c>
    </row>
    <row r="22" spans="4:11" ht="409.5">
      <c r="D22">
        <v>10</v>
      </c>
      <c r="J22" t="s">
        <v>298</v>
      </c>
      <c r="K22" s="13" t="s">
        <v>299</v>
      </c>
    </row>
    <row r="23" spans="4:11" ht="409.5">
      <c r="D23">
        <v>11</v>
      </c>
      <c r="J23" t="s">
        <v>300</v>
      </c>
      <c r="K23" s="13" t="s">
        <v>301</v>
      </c>
    </row>
    <row r="24" spans="10:11" ht="409.5">
      <c r="J24" t="s">
        <v>302</v>
      </c>
      <c r="K24" s="13" t="s">
        <v>441</v>
      </c>
    </row>
    <row r="25" spans="10:11" ht="15">
      <c r="J25" t="s">
        <v>303</v>
      </c>
      <c r="K25" t="b">
        <v>0</v>
      </c>
    </row>
    <row r="26" spans="10:11" ht="15">
      <c r="J26" t="s">
        <v>439</v>
      </c>
      <c r="K26" t="s">
        <v>440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310</v>
      </c>
      <c r="B1" s="13" t="s">
        <v>311</v>
      </c>
      <c r="C1" s="13" t="s">
        <v>312</v>
      </c>
      <c r="D1" s="13" t="s">
        <v>313</v>
      </c>
    </row>
    <row r="2" spans="1:4" ht="15">
      <c r="A2" s="87" t="s">
        <v>217</v>
      </c>
      <c r="B2" s="83">
        <v>2</v>
      </c>
      <c r="C2" s="87" t="s">
        <v>217</v>
      </c>
      <c r="D2" s="83">
        <v>2</v>
      </c>
    </row>
    <row r="5" spans="1:4" ht="15" customHeight="1">
      <c r="A5" s="13" t="s">
        <v>315</v>
      </c>
      <c r="B5" s="13" t="s">
        <v>311</v>
      </c>
      <c r="C5" s="13" t="s">
        <v>316</v>
      </c>
      <c r="D5" s="13" t="s">
        <v>313</v>
      </c>
    </row>
    <row r="6" spans="1:4" ht="15">
      <c r="A6" s="83" t="s">
        <v>218</v>
      </c>
      <c r="B6" s="83">
        <v>2</v>
      </c>
      <c r="C6" s="83" t="s">
        <v>218</v>
      </c>
      <c r="D6" s="83">
        <v>2</v>
      </c>
    </row>
    <row r="9" spans="1:4" ht="15" customHeight="1">
      <c r="A9" s="13" t="s">
        <v>318</v>
      </c>
      <c r="B9" s="13" t="s">
        <v>311</v>
      </c>
      <c r="C9" s="13" t="s">
        <v>323</v>
      </c>
      <c r="D9" s="13" t="s">
        <v>313</v>
      </c>
    </row>
    <row r="10" spans="1:4" ht="15">
      <c r="A10" s="83" t="s">
        <v>319</v>
      </c>
      <c r="B10" s="83">
        <v>2</v>
      </c>
      <c r="C10" s="83" t="s">
        <v>319</v>
      </c>
      <c r="D10" s="83">
        <v>2</v>
      </c>
    </row>
    <row r="11" spans="1:4" ht="15">
      <c r="A11" s="83" t="s">
        <v>320</v>
      </c>
      <c r="B11" s="83">
        <v>2</v>
      </c>
      <c r="C11" s="83" t="s">
        <v>320</v>
      </c>
      <c r="D11" s="83">
        <v>2</v>
      </c>
    </row>
    <row r="12" spans="1:4" ht="15">
      <c r="A12" s="83" t="s">
        <v>321</v>
      </c>
      <c r="B12" s="83">
        <v>2</v>
      </c>
      <c r="C12" s="83" t="s">
        <v>321</v>
      </c>
      <c r="D12" s="83">
        <v>2</v>
      </c>
    </row>
    <row r="13" spans="1:4" ht="15">
      <c r="A13" s="83" t="s">
        <v>322</v>
      </c>
      <c r="B13" s="83">
        <v>2</v>
      </c>
      <c r="C13" s="83" t="s">
        <v>322</v>
      </c>
      <c r="D13" s="83">
        <v>2</v>
      </c>
    </row>
    <row r="16" spans="1:4" ht="15" customHeight="1">
      <c r="A16" s="13" t="s">
        <v>325</v>
      </c>
      <c r="B16" s="13" t="s">
        <v>311</v>
      </c>
      <c r="C16" s="13" t="s">
        <v>336</v>
      </c>
      <c r="D16" s="13" t="s">
        <v>313</v>
      </c>
    </row>
    <row r="17" spans="1:4" ht="15">
      <c r="A17" s="89" t="s">
        <v>326</v>
      </c>
      <c r="B17" s="89">
        <v>2</v>
      </c>
      <c r="C17" s="89" t="s">
        <v>331</v>
      </c>
      <c r="D17" s="89">
        <v>2</v>
      </c>
    </row>
    <row r="18" spans="1:4" ht="15">
      <c r="A18" s="89" t="s">
        <v>327</v>
      </c>
      <c r="B18" s="89">
        <v>0</v>
      </c>
      <c r="C18" s="89" t="s">
        <v>332</v>
      </c>
      <c r="D18" s="89">
        <v>2</v>
      </c>
    </row>
    <row r="19" spans="1:4" ht="15">
      <c r="A19" s="89" t="s">
        <v>328</v>
      </c>
      <c r="B19" s="89">
        <v>0</v>
      </c>
      <c r="C19" s="89" t="s">
        <v>333</v>
      </c>
      <c r="D19" s="89">
        <v>2</v>
      </c>
    </row>
    <row r="20" spans="1:4" ht="15">
      <c r="A20" s="89" t="s">
        <v>329</v>
      </c>
      <c r="B20" s="89">
        <v>15</v>
      </c>
      <c r="C20" s="89" t="s">
        <v>334</v>
      </c>
      <c r="D20" s="89">
        <v>2</v>
      </c>
    </row>
    <row r="21" spans="1:4" ht="15">
      <c r="A21" s="89" t="s">
        <v>330</v>
      </c>
      <c r="B21" s="89">
        <v>17</v>
      </c>
      <c r="C21" s="89" t="s">
        <v>335</v>
      </c>
      <c r="D21" s="89">
        <v>2</v>
      </c>
    </row>
    <row r="22" spans="1:4" ht="15">
      <c r="A22" s="89" t="s">
        <v>331</v>
      </c>
      <c r="B22" s="89">
        <v>2</v>
      </c>
      <c r="C22" s="89" t="s">
        <v>337</v>
      </c>
      <c r="D22" s="89">
        <v>2</v>
      </c>
    </row>
    <row r="23" spans="1:4" ht="15">
      <c r="A23" s="89" t="s">
        <v>332</v>
      </c>
      <c r="B23" s="89">
        <v>2</v>
      </c>
      <c r="C23" s="89" t="s">
        <v>338</v>
      </c>
      <c r="D23" s="89">
        <v>2</v>
      </c>
    </row>
    <row r="24" spans="1:4" ht="15">
      <c r="A24" s="89" t="s">
        <v>333</v>
      </c>
      <c r="B24" s="89">
        <v>2</v>
      </c>
      <c r="C24" s="89"/>
      <c r="D24" s="89"/>
    </row>
    <row r="25" spans="1:4" ht="15">
      <c r="A25" s="89" t="s">
        <v>334</v>
      </c>
      <c r="B25" s="89">
        <v>2</v>
      </c>
      <c r="C25" s="89"/>
      <c r="D25" s="89"/>
    </row>
    <row r="26" spans="1:4" ht="15">
      <c r="A26" s="89" t="s">
        <v>335</v>
      </c>
      <c r="B26" s="89">
        <v>2</v>
      </c>
      <c r="C26" s="89"/>
      <c r="D26" s="89"/>
    </row>
    <row r="29" spans="1:4" ht="15" customHeight="1">
      <c r="A29" s="13" t="s">
        <v>341</v>
      </c>
      <c r="B29" s="13" t="s">
        <v>311</v>
      </c>
      <c r="C29" s="13" t="s">
        <v>348</v>
      </c>
      <c r="D29" s="13" t="s">
        <v>313</v>
      </c>
    </row>
    <row r="30" spans="1:4" ht="15">
      <c r="A30" s="89" t="s">
        <v>342</v>
      </c>
      <c r="B30" s="89">
        <v>2</v>
      </c>
      <c r="C30" s="89" t="s">
        <v>342</v>
      </c>
      <c r="D30" s="89">
        <v>2</v>
      </c>
    </row>
    <row r="31" spans="1:4" ht="15">
      <c r="A31" s="89" t="s">
        <v>343</v>
      </c>
      <c r="B31" s="89">
        <v>2</v>
      </c>
      <c r="C31" s="89" t="s">
        <v>343</v>
      </c>
      <c r="D31" s="89">
        <v>2</v>
      </c>
    </row>
    <row r="32" spans="1:4" ht="15">
      <c r="A32" s="89" t="s">
        <v>344</v>
      </c>
      <c r="B32" s="89">
        <v>2</v>
      </c>
      <c r="C32" s="89" t="s">
        <v>344</v>
      </c>
      <c r="D32" s="89">
        <v>2</v>
      </c>
    </row>
    <row r="33" spans="1:4" ht="15">
      <c r="A33" s="89" t="s">
        <v>345</v>
      </c>
      <c r="B33" s="89">
        <v>2</v>
      </c>
      <c r="C33" s="89" t="s">
        <v>345</v>
      </c>
      <c r="D33" s="89">
        <v>2</v>
      </c>
    </row>
    <row r="34" spans="1:4" ht="15">
      <c r="A34" s="89" t="s">
        <v>346</v>
      </c>
      <c r="B34" s="89">
        <v>2</v>
      </c>
      <c r="C34" s="89" t="s">
        <v>346</v>
      </c>
      <c r="D34" s="89">
        <v>2</v>
      </c>
    </row>
    <row r="35" spans="1:4" ht="15">
      <c r="A35" s="89" t="s">
        <v>347</v>
      </c>
      <c r="B35" s="89">
        <v>2</v>
      </c>
      <c r="C35" s="89" t="s">
        <v>347</v>
      </c>
      <c r="D35" s="89">
        <v>2</v>
      </c>
    </row>
    <row r="38" spans="1:4" ht="15" customHeight="1">
      <c r="A38" s="83" t="s">
        <v>351</v>
      </c>
      <c r="B38" s="83" t="s">
        <v>311</v>
      </c>
      <c r="C38" s="83" t="s">
        <v>353</v>
      </c>
      <c r="D38" s="83" t="s">
        <v>313</v>
      </c>
    </row>
    <row r="39" spans="1:4" ht="15">
      <c r="A39" s="83"/>
      <c r="B39" s="83"/>
      <c r="C39" s="83"/>
      <c r="D39" s="83"/>
    </row>
    <row r="41" spans="1:4" ht="15" customHeight="1">
      <c r="A41" s="13" t="s">
        <v>352</v>
      </c>
      <c r="B41" s="13" t="s">
        <v>311</v>
      </c>
      <c r="C41" s="13" t="s">
        <v>354</v>
      </c>
      <c r="D41" s="13" t="s">
        <v>313</v>
      </c>
    </row>
    <row r="42" spans="1:4" ht="15">
      <c r="A42" s="83" t="s">
        <v>212</v>
      </c>
      <c r="B42" s="83">
        <v>1</v>
      </c>
      <c r="C42" s="83" t="s">
        <v>212</v>
      </c>
      <c r="D42" s="83">
        <v>1</v>
      </c>
    </row>
    <row r="45" spans="1:4" ht="15" customHeight="1">
      <c r="A45" s="13" t="s">
        <v>357</v>
      </c>
      <c r="B45" s="13" t="s">
        <v>311</v>
      </c>
      <c r="C45" s="13" t="s">
        <v>358</v>
      </c>
      <c r="D45" s="13" t="s">
        <v>313</v>
      </c>
    </row>
    <row r="46" spans="1:4" ht="15">
      <c r="A46" s="108" t="s">
        <v>212</v>
      </c>
      <c r="B46" s="83">
        <v>41</v>
      </c>
      <c r="C46" s="108" t="s">
        <v>212</v>
      </c>
      <c r="D46" s="83">
        <v>41</v>
      </c>
    </row>
    <row r="47" spans="1:4" ht="15">
      <c r="A47" s="108" t="s">
        <v>213</v>
      </c>
      <c r="B47" s="83">
        <v>1</v>
      </c>
      <c r="C47" s="108" t="s">
        <v>213</v>
      </c>
      <c r="D47" s="83">
        <v>1</v>
      </c>
    </row>
  </sheetData>
  <hyperlinks>
    <hyperlink ref="A2" r:id="rId1" display="https://www.knightfoundation.org/challenges/knight-news-challenge"/>
    <hyperlink ref="C2" r:id="rId2" display="https://www.knightfoundation.org/challenges/knight-news-challenge"/>
  </hyperlinks>
  <printOptions/>
  <pageMargins left="0.7" right="0.7" top="0.75" bottom="0.75" header="0.3" footer="0.3"/>
  <pageSetup orientation="portrait" paperSize="9"/>
  <tableParts>
    <tablePart r:id="rId10"/>
    <tablePart r:id="rId5"/>
    <tablePart r:id="rId4"/>
    <tablePart r:id="rId9"/>
    <tablePart r:id="rId6"/>
    <tablePart r:id="rId3"/>
    <tablePart r:id="rId8"/>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373</v>
      </c>
      <c r="B1" s="13" t="s">
        <v>374</v>
      </c>
      <c r="C1" s="13" t="s">
        <v>375</v>
      </c>
      <c r="D1" s="13" t="s">
        <v>144</v>
      </c>
      <c r="E1" s="13" t="s">
        <v>377</v>
      </c>
      <c r="F1" s="13" t="s">
        <v>378</v>
      </c>
      <c r="G1" s="13" t="s">
        <v>379</v>
      </c>
    </row>
    <row r="2" spans="1:7" ht="15">
      <c r="A2" s="83" t="s">
        <v>326</v>
      </c>
      <c r="B2" s="83">
        <v>2</v>
      </c>
      <c r="C2" s="112">
        <v>0.11764705882352942</v>
      </c>
      <c r="D2" s="83" t="s">
        <v>376</v>
      </c>
      <c r="E2" s="83"/>
      <c r="F2" s="83"/>
      <c r="G2" s="83"/>
    </row>
    <row r="3" spans="1:7" ht="15">
      <c r="A3" s="83" t="s">
        <v>327</v>
      </c>
      <c r="B3" s="83">
        <v>0</v>
      </c>
      <c r="C3" s="112">
        <v>0</v>
      </c>
      <c r="D3" s="83" t="s">
        <v>376</v>
      </c>
      <c r="E3" s="83"/>
      <c r="F3" s="83"/>
      <c r="G3" s="83"/>
    </row>
    <row r="4" spans="1:7" ht="15">
      <c r="A4" s="83" t="s">
        <v>328</v>
      </c>
      <c r="B4" s="83">
        <v>0</v>
      </c>
      <c r="C4" s="112">
        <v>0</v>
      </c>
      <c r="D4" s="83" t="s">
        <v>376</v>
      </c>
      <c r="E4" s="83"/>
      <c r="F4" s="83"/>
      <c r="G4" s="83"/>
    </row>
    <row r="5" spans="1:7" ht="15">
      <c r="A5" s="83" t="s">
        <v>329</v>
      </c>
      <c r="B5" s="83">
        <v>15</v>
      </c>
      <c r="C5" s="112">
        <v>0.8823529411764706</v>
      </c>
      <c r="D5" s="83" t="s">
        <v>376</v>
      </c>
      <c r="E5" s="83"/>
      <c r="F5" s="83"/>
      <c r="G5" s="83"/>
    </row>
    <row r="6" spans="1:7" ht="15">
      <c r="A6" s="83" t="s">
        <v>330</v>
      </c>
      <c r="B6" s="83">
        <v>17</v>
      </c>
      <c r="C6" s="112">
        <v>1</v>
      </c>
      <c r="D6" s="83" t="s">
        <v>376</v>
      </c>
      <c r="E6" s="83"/>
      <c r="F6" s="83"/>
      <c r="G6" s="83"/>
    </row>
    <row r="7" spans="1:7" ht="15">
      <c r="A7" s="89" t="s">
        <v>331</v>
      </c>
      <c r="B7" s="89">
        <v>2</v>
      </c>
      <c r="C7" s="113">
        <v>0</v>
      </c>
      <c r="D7" s="89" t="s">
        <v>376</v>
      </c>
      <c r="E7" s="89" t="b">
        <v>1</v>
      </c>
      <c r="F7" s="89" t="b">
        <v>0</v>
      </c>
      <c r="G7" s="89" t="b">
        <v>0</v>
      </c>
    </row>
    <row r="8" spans="1:7" ht="15">
      <c r="A8" s="89" t="s">
        <v>332</v>
      </c>
      <c r="B8" s="89">
        <v>2</v>
      </c>
      <c r="C8" s="113">
        <v>0</v>
      </c>
      <c r="D8" s="89" t="s">
        <v>376</v>
      </c>
      <c r="E8" s="89" t="b">
        <v>0</v>
      </c>
      <c r="F8" s="89" t="b">
        <v>0</v>
      </c>
      <c r="G8" s="89" t="b">
        <v>0</v>
      </c>
    </row>
    <row r="9" spans="1:7" ht="15">
      <c r="A9" s="89" t="s">
        <v>333</v>
      </c>
      <c r="B9" s="89">
        <v>2</v>
      </c>
      <c r="C9" s="113">
        <v>0</v>
      </c>
      <c r="D9" s="89" t="s">
        <v>376</v>
      </c>
      <c r="E9" s="89" t="b">
        <v>0</v>
      </c>
      <c r="F9" s="89" t="b">
        <v>0</v>
      </c>
      <c r="G9" s="89" t="b">
        <v>0</v>
      </c>
    </row>
    <row r="10" spans="1:7" ht="15">
      <c r="A10" s="89" t="s">
        <v>334</v>
      </c>
      <c r="B10" s="89">
        <v>2</v>
      </c>
      <c r="C10" s="113">
        <v>0</v>
      </c>
      <c r="D10" s="89" t="s">
        <v>376</v>
      </c>
      <c r="E10" s="89" t="b">
        <v>0</v>
      </c>
      <c r="F10" s="89" t="b">
        <v>0</v>
      </c>
      <c r="G10" s="89" t="b">
        <v>0</v>
      </c>
    </row>
    <row r="11" spans="1:7" ht="15">
      <c r="A11" s="89" t="s">
        <v>335</v>
      </c>
      <c r="B11" s="89">
        <v>2</v>
      </c>
      <c r="C11" s="113">
        <v>0</v>
      </c>
      <c r="D11" s="89" t="s">
        <v>376</v>
      </c>
      <c r="E11" s="89" t="b">
        <v>0</v>
      </c>
      <c r="F11" s="89" t="b">
        <v>0</v>
      </c>
      <c r="G11" s="89" t="b">
        <v>0</v>
      </c>
    </row>
    <row r="12" spans="1:7" ht="15">
      <c r="A12" s="89" t="s">
        <v>337</v>
      </c>
      <c r="B12" s="89">
        <v>2</v>
      </c>
      <c r="C12" s="113">
        <v>0</v>
      </c>
      <c r="D12" s="89" t="s">
        <v>376</v>
      </c>
      <c r="E12" s="89" t="b">
        <v>0</v>
      </c>
      <c r="F12" s="89" t="b">
        <v>0</v>
      </c>
      <c r="G12" s="89" t="b">
        <v>0</v>
      </c>
    </row>
    <row r="13" spans="1:7" ht="15">
      <c r="A13" s="89" t="s">
        <v>338</v>
      </c>
      <c r="B13" s="89">
        <v>2</v>
      </c>
      <c r="C13" s="113">
        <v>0</v>
      </c>
      <c r="D13" s="89" t="s">
        <v>376</v>
      </c>
      <c r="E13" s="89" t="b">
        <v>0</v>
      </c>
      <c r="F13" s="89" t="b">
        <v>0</v>
      </c>
      <c r="G13" s="89" t="b">
        <v>0</v>
      </c>
    </row>
    <row r="14" spans="1:7" ht="15">
      <c r="A14" s="89" t="s">
        <v>331</v>
      </c>
      <c r="B14" s="89">
        <v>2</v>
      </c>
      <c r="C14" s="113">
        <v>0</v>
      </c>
      <c r="D14" s="89" t="s">
        <v>305</v>
      </c>
      <c r="E14" s="89" t="b">
        <v>1</v>
      </c>
      <c r="F14" s="89" t="b">
        <v>0</v>
      </c>
      <c r="G14" s="89" t="b">
        <v>0</v>
      </c>
    </row>
    <row r="15" spans="1:7" ht="15">
      <c r="A15" s="89" t="s">
        <v>332</v>
      </c>
      <c r="B15" s="89">
        <v>2</v>
      </c>
      <c r="C15" s="113">
        <v>0</v>
      </c>
      <c r="D15" s="89" t="s">
        <v>305</v>
      </c>
      <c r="E15" s="89" t="b">
        <v>0</v>
      </c>
      <c r="F15" s="89" t="b">
        <v>0</v>
      </c>
      <c r="G15" s="89" t="b">
        <v>0</v>
      </c>
    </row>
    <row r="16" spans="1:7" ht="15">
      <c r="A16" s="89" t="s">
        <v>333</v>
      </c>
      <c r="B16" s="89">
        <v>2</v>
      </c>
      <c r="C16" s="113">
        <v>0</v>
      </c>
      <c r="D16" s="89" t="s">
        <v>305</v>
      </c>
      <c r="E16" s="89" t="b">
        <v>0</v>
      </c>
      <c r="F16" s="89" t="b">
        <v>0</v>
      </c>
      <c r="G16" s="89" t="b">
        <v>0</v>
      </c>
    </row>
    <row r="17" spans="1:7" ht="15">
      <c r="A17" s="89" t="s">
        <v>334</v>
      </c>
      <c r="B17" s="89">
        <v>2</v>
      </c>
      <c r="C17" s="113">
        <v>0</v>
      </c>
      <c r="D17" s="89" t="s">
        <v>305</v>
      </c>
      <c r="E17" s="89" t="b">
        <v>0</v>
      </c>
      <c r="F17" s="89" t="b">
        <v>0</v>
      </c>
      <c r="G17" s="89" t="b">
        <v>0</v>
      </c>
    </row>
    <row r="18" spans="1:7" ht="15">
      <c r="A18" s="89" t="s">
        <v>335</v>
      </c>
      <c r="B18" s="89">
        <v>2</v>
      </c>
      <c r="C18" s="113">
        <v>0</v>
      </c>
      <c r="D18" s="89" t="s">
        <v>305</v>
      </c>
      <c r="E18" s="89" t="b">
        <v>0</v>
      </c>
      <c r="F18" s="89" t="b">
        <v>0</v>
      </c>
      <c r="G18" s="89" t="b">
        <v>0</v>
      </c>
    </row>
    <row r="19" spans="1:7" ht="15">
      <c r="A19" s="89" t="s">
        <v>337</v>
      </c>
      <c r="B19" s="89">
        <v>2</v>
      </c>
      <c r="C19" s="113">
        <v>0</v>
      </c>
      <c r="D19" s="89" t="s">
        <v>305</v>
      </c>
      <c r="E19" s="89" t="b">
        <v>0</v>
      </c>
      <c r="F19" s="89" t="b">
        <v>0</v>
      </c>
      <c r="G19" s="89" t="b">
        <v>0</v>
      </c>
    </row>
    <row r="20" spans="1:7" ht="15">
      <c r="A20" s="89" t="s">
        <v>338</v>
      </c>
      <c r="B20" s="89">
        <v>2</v>
      </c>
      <c r="C20" s="113">
        <v>0</v>
      </c>
      <c r="D20" s="89" t="s">
        <v>305</v>
      </c>
      <c r="E20" s="89" t="b">
        <v>0</v>
      </c>
      <c r="F20" s="89" t="b">
        <v>0</v>
      </c>
      <c r="G2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2019-11-13T09:15:58Z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