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130"/>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<sst xmlns="http://schemas.openxmlformats.org/spreadsheetml/2006/main" count="334" uniqueCount="213">
  <si>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</si>
  <si>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</si>
  <si>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</si>
  <si>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</si>
  <si>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</si>
  <si>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</si>
  <si>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</si>
  <si>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</si>
  <si>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</si>
  <si>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</si>
  <si>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</si>
  <si>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</si>
  <si>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</si>
  <si>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</si>
  <si>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</si>
  <si>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</si>
  <si>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</si>
  <si>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</si>
  <si>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</si>
  <si>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</si>
  <si>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</si>
  <si>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</si>
  <si>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</si>
  <si>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</si>
  <si>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</si>
  <si>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</si>
  <si>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</si>
  <si>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</si>
  <si>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</si>
  <si>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</si>
  <si>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</si>
  <si>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</si>
  <si>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</si>
  <si>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</si>
  <si>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</si>
  <si>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</si>
  <si>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</si>
  <si>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</si>
  <si>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</si>
  <si>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</si>
  <si>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</si>
  <si>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</si>
  <si>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</si>
  <si>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</si>
  <si>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</si>
  <si>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</si>
  <si>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</si>
  <si>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</si>
  <si>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</si>
  <si>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</si>
  <si>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</si>
  <si>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</si>
  <si>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</si>
  <si>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</si>
  <si>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</si>
  <si>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</si>
  <si>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</si>
  <si>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</si>
  <si>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</si>
  <si>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</si>
  <si>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</si>
  <si>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</si>
  <si>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</si>
  <si>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</si>
  <si>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</si>
  <si>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</si>
  <si>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</si>
  <si>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</si>
  <si>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</si>
  <si>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</si>
  <si>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</si>
  <si>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</si>
  <si>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</si>
  <si>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</si>
  <si>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</si>
  <si>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</si>
  <si>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</si>
  <si>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</si>
  <si>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</si>
  <si>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</si>
  <si>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</si>
  <si>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</si>
  <si>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</si>
  <si>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</si>
  <si>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</si>
  <si>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</si>
  <si>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</si>
  <si>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</si>
  <si>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</si>
  <si>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</si>
  <si>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</si>
  <si>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</si>
  <si>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</si>
  <si>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</si>
  <si>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</si>
  <si>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</si>
  <si>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</si>
  <si>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</si>
  <si>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</si>
  <si>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</si>
  <si>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</si>
  <si>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</si>
  <si>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</si>
  <si>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</si>
  <si>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</si>
  <si>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</si>
  <si>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</si>
  <si>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</si>
  <si>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</si>
  <si>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</si>
  <si>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</si>
  <si>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</si>
  <si>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</si>
  <si>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</si>
  <si>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</si>
  <si>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</si>
  <si>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</si>
  <si>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</si>
  <si>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</si>
  <si>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</si>
  <si>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</si>
  <si>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</si>
  <si>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</si>
  <si>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</si>
  <si>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</si>
  <si>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</si>
  <si>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</si>
  <si>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</si>
  <si>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</si>
  <si>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</si>
  <si>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</si>
  <si>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</si>
  <si>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</si>
  <si>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</si>
  <si>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</si>
  <si>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</si>
  <si>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</si>
  <si>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</si>
  <si>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</si>
  <si>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</si>
  <si>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</si>
  <si>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</si>
  <si>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</si>
  <si>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</si>
  <si>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</si>
  <si>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</si>
  <si>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</si>
  <si>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</si>
  <si>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</si>
  <si>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</si>
  <si>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</si>
  <si>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</si>
  <si>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</si>
  <si>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</si>
  <si>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</si>
  <si>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</si>
  <si>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</si>
  <si>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</si>
  <si>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</si>
  <si>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</si>
  <si>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</si>
  <si>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</si>
  <si>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</si>
  <si>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</si>
  <si>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</si>
  <si>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</si>
  <si>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</si>
  <si>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</si>
  <si>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</si>
  <si>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</si>
  <si>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</si>
  <si>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</si>
  <si>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</si>
  <si>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</si>
  <si>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</si>
  <si>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</si>
  <si>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</si>
  <si>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</si>
  <si>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</si>
  <si>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Edges</t>
  </si>
  <si>
    <t>https://pbs.twimg.com/profile_images/2527256269/ursvsnoadffhlpb3yaek_400x400.png</t>
  </si>
  <si>
    <t>https://pbs.twimg.com/profile_images/711126987239243776/GeF-JOiK_400x400.jpg</t>
  </si>
  <si>
    <t>Graph History</t>
  </si>
  <si>
    <t>Autofill Workbook Results</t>
  </si>
  <si>
    <t>Workbook Settings 2</t>
  </si>
  <si>
    <t>Directed</t>
  </si>
  <si>
    <t>Workbook Settings 3</t>
  </si>
  <si>
    <t>LayoutAlgorithm░The graph was laid out using the Circle layout algorithm.▓GraphDirectedness░The graph is directed.</t>
  </si>
  <si>
    <t>Bündnis 90/Die Grünen</t>
  </si>
  <si>
    <t xml:space="preserve">https://pbs.twimg.com/profile_images/1023868064385904640/bO-q83we_400x400.jpg </t>
  </si>
  <si>
    <t>https://pbs.twimg.com/profile_images/1095661538172719104/j02UvQFQ_400x400.png</t>
  </si>
  <si>
    <t>&lt;?xml version="1.0" encoding="utf-8"?&gt;
&lt;configuration&gt;
  &lt;configSections&gt;
    &lt;sectionGroup name="userSettings" type="System.Configuration.UserSettingsGroup, System, Version=2.0.0.0, Culture=neutral, PublicKeyToken=b77a5c561934e089"&gt;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t>
  </si>
  <si>
    <t>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&lt;value&gt;Edges&lt;/value&gt;
      &lt;/setting&gt;
      &lt;setting name="EdgeAlphaSourceColumnName" serializeAs="String"&gt;
        &lt;value&gt;Edges&lt;/value&gt;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&lt;value&gt;Edges&lt;/value&gt;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
  </si>
  <si>
    <t>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</si>
  <si>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128, 128, 128</t>
  </si>
  <si>
    <t>144, 112, 112</t>
  </si>
  <si>
    <t>164, 92, 92</t>
  </si>
  <si>
    <t>141, 115, 115</t>
  </si>
  <si>
    <t>Red</t>
  </si>
  <si>
    <t>131, 125, 125</t>
  </si>
  <si>
    <t>158, 98, 98</t>
  </si>
  <si>
    <t>148, 108, 108</t>
  </si>
  <si>
    <t>167, 89, 89</t>
  </si>
  <si>
    <t>161, 95, 95</t>
  </si>
  <si>
    <t>https://pbs.twimg.com/profile_images/1176876229615656961/X0-g_4jF_400x400.jpg</t>
  </si>
  <si>
    <t>135, 121, 121</t>
  </si>
  <si>
    <t>222, 33, 33</t>
  </si>
  <si>
    <t>151, 105, 105</t>
  </si>
  <si>
    <t>177, 79, 79</t>
  </si>
  <si>
    <t>209, 46, 46</t>
  </si>
  <si>
    <t>154, 102, 102</t>
  </si>
  <si>
    <t>Edges▓3▓244▓0▓True▓Gray▓Red▓▓Edges▓3▓244▓0▓1▓10▓False▓Edges▓3▓244▓0▓80▓30▓False▓▓0▓0▓0▓True▓Black▓Black▓▓▓0▓0▓0▓0▓0▓False▓▓0▓0▓0▓0▓0▓False▓▓0▓0▓0▓0▓0▓False▓▓0▓0▓0▓0▓0▓False</t>
  </si>
  <si>
    <t>http://pbs.twimg.com/profile_images/1107901459939635200/d5j5nN0x_400x400.jpg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</si>
</sst>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0" fontId="0" fillId="2" borderId="1" xfId="20" applyNumberFormat="1" applyFont="1" applyAlignment="1">
      <alignment wrapText="1"/>
    </xf>
    <xf numFmtId="164" fontId="0" fillId="3" borderId="1" xfId="23" applyNumberFormat="1" applyFont="1"/>
    <xf numFmtId="1"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2" borderId="1" xfId="20" applyNumberFormat="1" applyFont="1"/>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0" fontId="10" fillId="3" borderId="11" xfId="28" applyNumberFormat="1" applyFill="1" applyBorder="1"/>
    <xf numFmtId="0" fontId="0" fillId="3" borderId="1" xfId="23" applyNumberFormat="1" applyFont="1" applyBorder="1"/>
    <xf numFmtId="1" fontId="0" fillId="3" borderId="1" xfId="23" applyNumberFormat="1" applyFont="1" applyBorder="1"/>
    <xf numFmtId="49" fontId="6" fillId="5" borderId="1" xfId="25" applyNumberFormat="1" applyBorder="1"/>
    <xf numFmtId="0" fontId="6" fillId="5" borderId="1" xfId="25" applyNumberFormat="1" applyBorder="1"/>
    <xf numFmtId="164" fontId="0" fillId="6" borderId="1" xfId="26" applyNumberFormat="1" applyFont="1" applyBorder="1"/>
    <xf numFmtId="165" fontId="0" fillId="6" borderId="1" xfId="26" applyNumberFormat="1" applyFont="1" applyBorder="1"/>
    <xf numFmtId="0" fontId="0" fillId="6" borderId="1" xfId="26" applyNumberFormat="1" applyFont="1" applyBorder="1"/>
    <xf numFmtId="166" fontId="0" fillId="6" borderId="1" xfId="26" applyNumberFormat="1" applyFont="1" applyBorder="1"/>
    <xf numFmtId="1" fontId="0" fillId="4" borderId="1" xfId="24" applyNumberFormat="1" applyFont="1" applyBorder="1" applyAlignment="1">
      <alignment/>
    </xf>
    <xf numFmtId="167" fontId="0" fillId="4" borderId="1" xfId="24" applyNumberFormat="1" applyFont="1" applyBorder="1" applyAlignment="1">
      <alignment/>
    </xf>
    <xf numFmtId="167" fontId="0" fillId="4" borderId="1" xfId="24" applyNumberFormat="1" applyBorder="1" applyAlignment="1">
      <alignment/>
    </xf>
    <xf numFmtId="0" fontId="0" fillId="2" borderId="1" xfId="20" applyNumberFormat="1" applyFont="1" applyBorder="1"/>
    <xf numFmtId="0" fontId="0" fillId="2" borderId="1" xfId="20" applyNumberFormat="1" applyFont="1" applyAlignment="1">
      <alignment wrapText="1"/>
    </xf>
    <xf numFmtId="0" fontId="0" fillId="4" borderId="1" xfId="24" applyNumberFormat="1" applyAlignment="1">
      <alignment wrapText="1"/>
    </xf>
    <xf numFmtId="0" fontId="0" fillId="3" borderId="1" xfId="23" applyNumberFormat="1" applyFont="1" applyAlignment="1">
      <alignment wrapText="1"/>
    </xf>
    <xf numFmtId="0" fontId="0" fillId="2" borderId="1" xfId="20" applyNumberFormat="1" applyFont="1" applyAlignment="1">
      <alignment wrapText="1"/>
    </xf>
    <xf numFmtId="0" fontId="10" fillId="3" borderId="1" xfId="28" applyFill="1" applyBorder="1"/>
    <xf numFmtId="0" fontId="0" fillId="4" borderId="1" xfId="24" applyNumberFormat="1" applyAlignment="1">
      <alignment wrapText="1"/>
    </xf>
    <xf numFmtId="0" fontId="0" fillId="4" borderId="1" xfId="24" applyNumberFormat="1" applyAlignment="1">
      <alignment wrapText="1"/>
    </xf>
    <xf numFmtId="0" fontId="0" fillId="0" borderId="7" xfId="22" applyFont="1" applyBorder="1" applyAlignment="1">
      <alignment/>
    </xf>
    <xf numFmtId="0" fontId="0" fillId="0" borderId="0" xfId="22" applyFont="1" applyBorder="1" applyAlignment="1">
      <alignment/>
    </xf>
    <xf numFmtId="0" fontId="0" fillId="4" borderId="1" xfId="24" applyNumberFormat="1" applyAlignment="1">
      <alignment/>
    </xf>
    <xf numFmtId="49" fontId="0" fillId="0" borderId="0" xfId="22" applyNumberFormat="1" applyFont="1" applyBorder="1" applyAlignment="1">
      <alignment/>
    </xf>
    <xf numFmtId="0" fontId="10" fillId="3" borderId="1" xfId="28" applyNumberFormat="1" applyFill="1" applyBorder="1" applyAlignment="1">
      <alignment/>
    </xf>
    <xf numFmtId="49" fontId="0" fillId="0" borderId="7" xfId="22" applyNumberFormat="1" applyFont="1" applyBorder="1" applyAlignment="1">
      <alignment/>
    </xf>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border>
        <left/>
        <right style="thin">
          <color theme="0"/>
        </right>
        <top/>
        <bottom/>
        <vertical/>
        <horizontal/>
      </border>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4599254"/>
        <c:axId val="20066695"/>
      </c:barChart>
      <c:catAx>
        <c:axId val="245992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066695"/>
        <c:crosses val="autoZero"/>
        <c:auto val="1"/>
        <c:lblOffset val="100"/>
        <c:noMultiLvlLbl val="0"/>
      </c:catAx>
      <c:valAx>
        <c:axId val="200666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992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6382528"/>
        <c:axId val="14789569"/>
      </c:barChart>
      <c:catAx>
        <c:axId val="463825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789569"/>
        <c:crosses val="autoZero"/>
        <c:auto val="1"/>
        <c:lblOffset val="100"/>
        <c:noMultiLvlLbl val="0"/>
      </c:catAx>
      <c:valAx>
        <c:axId val="147895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82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5997258"/>
        <c:axId val="57104411"/>
      </c:barChart>
      <c:catAx>
        <c:axId val="659972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104411"/>
        <c:crosses val="autoZero"/>
        <c:auto val="1"/>
        <c:lblOffset val="100"/>
        <c:noMultiLvlLbl val="0"/>
      </c:catAx>
      <c:valAx>
        <c:axId val="57104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972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4177652"/>
        <c:axId val="62054549"/>
      </c:barChart>
      <c:catAx>
        <c:axId val="4417765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054549"/>
        <c:crosses val="autoZero"/>
        <c:auto val="1"/>
        <c:lblOffset val="100"/>
        <c:noMultiLvlLbl val="0"/>
      </c:catAx>
      <c:valAx>
        <c:axId val="62054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77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1620030"/>
        <c:axId val="60362543"/>
      </c:barChart>
      <c:catAx>
        <c:axId val="216200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362543"/>
        <c:crosses val="autoZero"/>
        <c:auto val="1"/>
        <c:lblOffset val="100"/>
        <c:noMultiLvlLbl val="0"/>
      </c:catAx>
      <c:valAx>
        <c:axId val="60362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200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391976"/>
        <c:axId val="57527785"/>
      </c:barChart>
      <c:catAx>
        <c:axId val="63919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527785"/>
        <c:crosses val="autoZero"/>
        <c:auto val="1"/>
        <c:lblOffset val="100"/>
        <c:noMultiLvlLbl val="0"/>
      </c:catAx>
      <c:valAx>
        <c:axId val="575277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19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7988018"/>
        <c:axId val="29238979"/>
      </c:barChart>
      <c:catAx>
        <c:axId val="479880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238979"/>
        <c:crosses val="autoZero"/>
        <c:auto val="1"/>
        <c:lblOffset val="100"/>
        <c:noMultiLvlLbl val="0"/>
      </c:catAx>
      <c:valAx>
        <c:axId val="292389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880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1824220"/>
        <c:axId val="19547069"/>
      </c:barChart>
      <c:catAx>
        <c:axId val="618242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547069"/>
        <c:crosses val="autoZero"/>
        <c:auto val="1"/>
        <c:lblOffset val="100"/>
        <c:noMultiLvlLbl val="0"/>
      </c:catAx>
      <c:valAx>
        <c:axId val="19547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24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1705894"/>
        <c:axId val="39808727"/>
      </c:barChart>
      <c:catAx>
        <c:axId val="41705894"/>
        <c:scaling>
          <c:orientation val="minMax"/>
        </c:scaling>
        <c:axPos val="b"/>
        <c:delete val="1"/>
        <c:majorTickMark val="out"/>
        <c:minorTickMark val="none"/>
        <c:tickLblPos val="none"/>
        <c:crossAx val="39808727"/>
        <c:crosses val="autoZero"/>
        <c:auto val="1"/>
        <c:lblOffset val="100"/>
        <c:noMultiLvlLbl val="0"/>
      </c:catAx>
      <c:valAx>
        <c:axId val="39808727"/>
        <c:scaling>
          <c:orientation val="minMax"/>
        </c:scaling>
        <c:axPos val="l"/>
        <c:delete val="1"/>
        <c:majorTickMark val="out"/>
        <c:minorTickMark val="none"/>
        <c:tickLblPos val="none"/>
        <c:crossAx val="417058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2" totalsRowShown="0" headerRowDxfId="95" dataDxfId="94">
  <autoFilter ref="A2:N32"/>
  <sortState ref="A3:N32">
    <sortCondition sortBy="value" ref="B3:B32"/>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8" name="Edges"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8" totalsRowShown="0" headerRowDxfId="79" dataDxfId="78">
  <autoFilter ref="A2:AC8"/>
  <sortState ref="A3:AC8">
    <sortCondition sortBy="value" ref="R3:R8"/>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711126987239243776/GeF-JOiK_400x400.jpg" TargetMode="External" /><Relationship Id="rId2" Type="http://schemas.openxmlformats.org/officeDocument/2006/relationships/hyperlink" Target="https://pbs.twimg.com/profile_images/1023868064385904640/bO-q83we_400x400.jpg" TargetMode="External" /><Relationship Id="rId3" Type="http://schemas.openxmlformats.org/officeDocument/2006/relationships/hyperlink" Target="https://pbs.twimg.com/profile_images/1095661538172719104/j02UvQFQ_400x400.png" TargetMode="External" /><Relationship Id="rId4" Type="http://schemas.openxmlformats.org/officeDocument/2006/relationships/hyperlink" Target="https://pbs.twimg.com/profile_images/2527256269/ursvsnoadffhlpb3yaek_400x400.png" TargetMode="External" /><Relationship Id="rId5" Type="http://schemas.openxmlformats.org/officeDocument/2006/relationships/hyperlink" Target="https://pbs.twimg.com/profile_images/1176876229615656961/X0-g_4jF_400x400.jpg" TargetMode="External" /><Relationship Id="rId6" Type="http://schemas.openxmlformats.org/officeDocument/2006/relationships/hyperlink" Target="http://pbs.twimg.com/profile_images/1107901459939635200/d5j5nN0x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2"/>
  <sheetViews>
    <sheetView tabSelected="1" zoomScale="150" zoomScaleNormal="150" workbookViewId="0" topLeftCell="A1">
      <pane xSplit="2" ySplit="2" topLeftCell="C30" activePane="bottomRight" state="frozen"/>
      <selection pane="topRight" activeCell="C1" sqref="C1"/>
      <selection pane="bottomLeft" activeCell="A3" sqref="A3"/>
      <selection pane="bottomRight" activeCell="A2" sqref="A2"/>
    </sheetView>
  </sheetViews>
  <sheetFormatPr defaultColWidth="9.140625" defaultRowHeight="15"/>
  <cols>
    <col min="1" max="1" width="17.140625" style="1" customWidth="1"/>
    <col min="2" max="2" width="17.71093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3.8515625" style="0" customWidth="1"/>
  </cols>
  <sheetData>
    <row r="1" spans="3:14" ht="15">
      <c r="C1" s="18" t="s">
        <v>39</v>
      </c>
      <c r="D1" s="19"/>
      <c r="E1" s="19"/>
      <c r="F1" s="19"/>
      <c r="G1" s="18"/>
      <c r="H1" s="16" t="s">
        <v>43</v>
      </c>
      <c r="I1" s="58"/>
      <c r="J1" s="58"/>
      <c r="K1" s="35" t="s">
        <v>42</v>
      </c>
      <c r="L1" s="20" t="s">
        <v>40</v>
      </c>
      <c r="M1" s="20"/>
      <c r="N1" s="17" t="s">
        <v>41</v>
      </c>
    </row>
    <row r="2" spans="1:1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179</v>
      </c>
    </row>
    <row r="3" spans="1:14" ht="15" customHeight="1">
      <c r="A3" s="121" t="s">
        <v>188</v>
      </c>
      <c r="B3" s="120" t="s">
        <v>176</v>
      </c>
      <c r="C3" s="52" t="s">
        <v>199</v>
      </c>
      <c r="D3" s="53">
        <v>1.2987551867219918</v>
      </c>
      <c r="E3" s="59"/>
      <c r="F3" s="54">
        <v>78.34024896265561</v>
      </c>
      <c r="G3" s="52"/>
      <c r="H3" s="56"/>
      <c r="I3" s="55"/>
      <c r="J3" s="55"/>
      <c r="K3" s="114"/>
      <c r="L3" s="75">
        <v>3</v>
      </c>
      <c r="M3" s="75"/>
      <c r="N3" s="122">
        <v>11</v>
      </c>
    </row>
    <row r="4" spans="1:14" ht="15" customHeight="1">
      <c r="A4" s="121" t="s">
        <v>175</v>
      </c>
      <c r="B4" s="120" t="s">
        <v>176</v>
      </c>
      <c r="C4" s="52" t="s">
        <v>205</v>
      </c>
      <c r="D4" s="53">
        <v>1.6721991701244814</v>
      </c>
      <c r="E4" s="115"/>
      <c r="F4" s="54">
        <v>76.2655601659751</v>
      </c>
      <c r="G4" s="52"/>
      <c r="H4" s="56"/>
      <c r="I4" s="55"/>
      <c r="J4" s="55"/>
      <c r="K4" s="114"/>
      <c r="L4" s="116">
        <v>4</v>
      </c>
      <c r="M4" s="116"/>
      <c r="N4" s="122">
        <v>21</v>
      </c>
    </row>
    <row r="5" spans="1:14" ht="15" customHeight="1">
      <c r="A5" s="123" t="s">
        <v>178</v>
      </c>
      <c r="B5" s="125" t="s">
        <v>176</v>
      </c>
      <c r="C5" s="52" t="s">
        <v>194</v>
      </c>
      <c r="D5" s="53">
        <v>1</v>
      </c>
      <c r="E5" s="115"/>
      <c r="F5" s="54">
        <v>80</v>
      </c>
      <c r="G5" s="52"/>
      <c r="H5" s="56"/>
      <c r="I5" s="55"/>
      <c r="J5" s="55"/>
      <c r="K5" s="114"/>
      <c r="L5" s="116">
        <v>5</v>
      </c>
      <c r="M5" s="116"/>
      <c r="N5" s="122">
        <v>3</v>
      </c>
    </row>
    <row r="6" spans="1:14" ht="15" customHeight="1">
      <c r="A6" s="121" t="s">
        <v>177</v>
      </c>
      <c r="B6" s="120" t="s">
        <v>176</v>
      </c>
      <c r="C6" s="52" t="s">
        <v>197</v>
      </c>
      <c r="D6" s="53">
        <v>1.9709543568464731</v>
      </c>
      <c r="E6" s="59"/>
      <c r="F6" s="54">
        <v>74.60580912863071</v>
      </c>
      <c r="G6" s="52"/>
      <c r="H6" s="56"/>
      <c r="I6" s="55"/>
      <c r="J6" s="55"/>
      <c r="K6" s="114"/>
      <c r="L6" s="75">
        <v>6</v>
      </c>
      <c r="M6" s="75"/>
      <c r="N6" s="122">
        <v>29</v>
      </c>
    </row>
    <row r="7" spans="1:14" ht="15" customHeight="1">
      <c r="A7" s="121" t="s">
        <v>174</v>
      </c>
      <c r="B7" s="120" t="s">
        <v>176</v>
      </c>
      <c r="C7" s="52" t="s">
        <v>205</v>
      </c>
      <c r="D7" s="53">
        <v>1.4854771784232366</v>
      </c>
      <c r="E7" s="115"/>
      <c r="F7" s="54">
        <v>77.30290456431536</v>
      </c>
      <c r="G7" s="52"/>
      <c r="H7" s="56"/>
      <c r="I7" s="55"/>
      <c r="J7" s="55"/>
      <c r="K7" s="114"/>
      <c r="L7" s="116">
        <v>7</v>
      </c>
      <c r="M7" s="116"/>
      <c r="N7" s="122">
        <v>16</v>
      </c>
    </row>
    <row r="8" spans="1:14" ht="15" customHeight="1">
      <c r="A8" s="127" t="s">
        <v>176</v>
      </c>
      <c r="B8" s="126" t="s">
        <v>188</v>
      </c>
      <c r="C8" s="52" t="s">
        <v>201</v>
      </c>
      <c r="D8" s="53">
        <v>2.4937759336099585</v>
      </c>
      <c r="E8" s="115"/>
      <c r="F8" s="54">
        <v>71.70124481327801</v>
      </c>
      <c r="G8" s="52"/>
      <c r="H8" s="56"/>
      <c r="I8" s="55"/>
      <c r="J8" s="55"/>
      <c r="K8" s="114"/>
      <c r="L8" s="116">
        <v>8</v>
      </c>
      <c r="M8" s="116"/>
      <c r="N8" s="122">
        <v>43</v>
      </c>
    </row>
    <row r="9" spans="1:14" ht="15" customHeight="1">
      <c r="A9" s="121" t="s">
        <v>175</v>
      </c>
      <c r="B9" s="120" t="s">
        <v>188</v>
      </c>
      <c r="C9" s="52" t="s">
        <v>200</v>
      </c>
      <c r="D9" s="53">
        <v>3.091286307053942</v>
      </c>
      <c r="E9" s="115"/>
      <c r="F9" s="54">
        <v>68.38174273858921</v>
      </c>
      <c r="G9" s="52"/>
      <c r="H9" s="56"/>
      <c r="I9" s="55"/>
      <c r="J9" s="55"/>
      <c r="K9" s="114"/>
      <c r="L9" s="116">
        <v>9</v>
      </c>
      <c r="M9" s="116"/>
      <c r="N9" s="122">
        <v>59</v>
      </c>
    </row>
    <row r="10" spans="1:14" ht="15" customHeight="1">
      <c r="A10" s="123" t="s">
        <v>178</v>
      </c>
      <c r="B10" s="125" t="s">
        <v>188</v>
      </c>
      <c r="C10" s="52" t="s">
        <v>195</v>
      </c>
      <c r="D10" s="53">
        <v>2.2697095435684647</v>
      </c>
      <c r="E10" s="115"/>
      <c r="F10" s="54">
        <v>72.9460580912863</v>
      </c>
      <c r="G10" s="52"/>
      <c r="H10" s="56"/>
      <c r="I10" s="55"/>
      <c r="J10" s="55"/>
      <c r="K10" s="114"/>
      <c r="L10" s="116">
        <v>10</v>
      </c>
      <c r="M10" s="116"/>
      <c r="N10" s="122">
        <v>37</v>
      </c>
    </row>
    <row r="11" spans="1:14" ht="15" customHeight="1">
      <c r="A11" s="121" t="s">
        <v>177</v>
      </c>
      <c r="B11" s="120" t="s">
        <v>188</v>
      </c>
      <c r="C11" s="52" t="s">
        <v>196</v>
      </c>
      <c r="D11" s="53">
        <v>3.5394190871369293</v>
      </c>
      <c r="E11" s="115"/>
      <c r="F11" s="54">
        <v>65.89211618257261</v>
      </c>
      <c r="G11" s="52"/>
      <c r="H11" s="56"/>
      <c r="I11" s="55"/>
      <c r="J11" s="55"/>
      <c r="K11" s="114"/>
      <c r="L11" s="116">
        <v>11</v>
      </c>
      <c r="M11" s="116"/>
      <c r="N11" s="122">
        <v>71</v>
      </c>
    </row>
    <row r="12" spans="1:14" ht="15" customHeight="1">
      <c r="A12" s="127" t="s">
        <v>174</v>
      </c>
      <c r="B12" s="126" t="s">
        <v>188</v>
      </c>
      <c r="C12" s="52" t="s">
        <v>196</v>
      </c>
      <c r="D12" s="53">
        <v>3.5767634854771786</v>
      </c>
      <c r="E12" s="59"/>
      <c r="F12" s="54">
        <v>65.68464730290457</v>
      </c>
      <c r="G12" s="52"/>
      <c r="H12" s="56"/>
      <c r="I12" s="55"/>
      <c r="J12" s="55"/>
      <c r="K12" s="114"/>
      <c r="L12" s="75">
        <v>12</v>
      </c>
      <c r="M12" s="75"/>
      <c r="N12" s="122">
        <v>72</v>
      </c>
    </row>
    <row r="13" spans="1:14" ht="15" customHeight="1">
      <c r="A13" s="121" t="s">
        <v>176</v>
      </c>
      <c r="B13" s="120" t="s">
        <v>175</v>
      </c>
      <c r="C13" s="52" t="s">
        <v>205</v>
      </c>
      <c r="D13" s="53">
        <v>1.5601659751037344</v>
      </c>
      <c r="E13" s="115"/>
      <c r="F13" s="54">
        <v>76.88796680497926</v>
      </c>
      <c r="G13" s="52"/>
      <c r="H13" s="56"/>
      <c r="I13" s="55"/>
      <c r="J13" s="55"/>
      <c r="K13" s="114"/>
      <c r="L13" s="116">
        <v>13</v>
      </c>
      <c r="M13" s="116"/>
      <c r="N13" s="122">
        <v>18</v>
      </c>
    </row>
    <row r="14" spans="1:14" ht="15" customHeight="1">
      <c r="A14" s="121" t="s">
        <v>188</v>
      </c>
      <c r="B14" s="120" t="s">
        <v>175</v>
      </c>
      <c r="C14" s="52" t="s">
        <v>198</v>
      </c>
      <c r="D14" s="53">
        <v>10</v>
      </c>
      <c r="E14" s="115"/>
      <c r="F14" s="54">
        <v>30</v>
      </c>
      <c r="G14" s="52"/>
      <c r="H14" s="56"/>
      <c r="I14" s="55"/>
      <c r="J14" s="55"/>
      <c r="K14" s="114"/>
      <c r="L14" s="116">
        <v>14</v>
      </c>
      <c r="M14" s="116"/>
      <c r="N14" s="122">
        <v>244</v>
      </c>
    </row>
    <row r="15" spans="1:14" ht="15" customHeight="1">
      <c r="A15" s="123" t="s">
        <v>178</v>
      </c>
      <c r="B15" s="125" t="s">
        <v>175</v>
      </c>
      <c r="C15" s="52" t="s">
        <v>201</v>
      </c>
      <c r="D15" s="53">
        <v>2.5311203319502074</v>
      </c>
      <c r="E15" s="115"/>
      <c r="F15" s="54">
        <v>71.49377593360995</v>
      </c>
      <c r="G15" s="52"/>
      <c r="H15" s="56"/>
      <c r="I15" s="55"/>
      <c r="J15" s="55"/>
      <c r="K15" s="114"/>
      <c r="L15" s="116">
        <v>15</v>
      </c>
      <c r="M15" s="116"/>
      <c r="N15" s="122">
        <v>44</v>
      </c>
    </row>
    <row r="16" spans="1:14" ht="15" customHeight="1">
      <c r="A16" s="121" t="s">
        <v>177</v>
      </c>
      <c r="B16" s="120" t="s">
        <v>175</v>
      </c>
      <c r="C16" s="52" t="s">
        <v>206</v>
      </c>
      <c r="D16" s="53">
        <v>7.6846473029045645</v>
      </c>
      <c r="E16" s="59"/>
      <c r="F16" s="54">
        <v>42.863070539419084</v>
      </c>
      <c r="G16" s="52"/>
      <c r="H16" s="56"/>
      <c r="I16" s="55"/>
      <c r="J16" s="55"/>
      <c r="K16" s="114"/>
      <c r="L16" s="75">
        <v>16</v>
      </c>
      <c r="M16" s="75"/>
      <c r="N16" s="122">
        <v>182</v>
      </c>
    </row>
    <row r="17" spans="1:14" ht="15" customHeight="1">
      <c r="A17" s="127" t="s">
        <v>174</v>
      </c>
      <c r="B17" s="126" t="s">
        <v>175</v>
      </c>
      <c r="C17" s="52" t="s">
        <v>202</v>
      </c>
      <c r="D17" s="53">
        <v>3.87551867219917</v>
      </c>
      <c r="E17" s="115"/>
      <c r="F17" s="54">
        <v>64.02489626556016</v>
      </c>
      <c r="G17" s="52"/>
      <c r="H17" s="56"/>
      <c r="I17" s="55"/>
      <c r="J17" s="55"/>
      <c r="K17" s="114"/>
      <c r="L17" s="116">
        <v>17</v>
      </c>
      <c r="M17" s="116"/>
      <c r="N17" s="122">
        <v>80</v>
      </c>
    </row>
    <row r="18" spans="1:14" ht="15" customHeight="1">
      <c r="A18" s="127" t="s">
        <v>176</v>
      </c>
      <c r="B18" s="126" t="s">
        <v>178</v>
      </c>
      <c r="C18" s="52" t="s">
        <v>194</v>
      </c>
      <c r="D18" s="53">
        <v>1.1493775933609958</v>
      </c>
      <c r="E18" s="59"/>
      <c r="F18" s="54">
        <v>79.1701244813278</v>
      </c>
      <c r="G18" s="52"/>
      <c r="H18" s="56"/>
      <c r="I18" s="55"/>
      <c r="J18" s="55"/>
      <c r="K18" s="114"/>
      <c r="L18" s="75">
        <v>18</v>
      </c>
      <c r="M18" s="75"/>
      <c r="N18" s="122">
        <v>7</v>
      </c>
    </row>
    <row r="19" spans="1:14" ht="15" customHeight="1">
      <c r="A19" s="123" t="s">
        <v>188</v>
      </c>
      <c r="B19" s="125" t="s">
        <v>178</v>
      </c>
      <c r="C19" s="52" t="s">
        <v>207</v>
      </c>
      <c r="D19" s="53">
        <v>2.6058091286307055</v>
      </c>
      <c r="E19" s="115"/>
      <c r="F19" s="54">
        <v>71.07883817427386</v>
      </c>
      <c r="G19" s="52"/>
      <c r="H19" s="56"/>
      <c r="I19" s="55"/>
      <c r="J19" s="55"/>
      <c r="K19" s="114"/>
      <c r="L19" s="116">
        <v>19</v>
      </c>
      <c r="M19" s="116"/>
      <c r="N19" s="122">
        <v>46</v>
      </c>
    </row>
    <row r="20" spans="1:14" ht="15" customHeight="1">
      <c r="A20" s="127" t="s">
        <v>175</v>
      </c>
      <c r="B20" s="126" t="s">
        <v>178</v>
      </c>
      <c r="C20" s="52" t="s">
        <v>199</v>
      </c>
      <c r="D20" s="53">
        <v>1.2614107883817427</v>
      </c>
      <c r="E20" s="59"/>
      <c r="F20" s="54">
        <v>78.54771784232365</v>
      </c>
      <c r="G20" s="52"/>
      <c r="H20" s="56"/>
      <c r="I20" s="55"/>
      <c r="J20" s="55"/>
      <c r="K20" s="118"/>
      <c r="L20" s="75">
        <v>20</v>
      </c>
      <c r="M20" s="75"/>
      <c r="N20" s="122">
        <v>10</v>
      </c>
    </row>
    <row r="21" spans="1:14" ht="15" customHeight="1">
      <c r="A21" s="127" t="s">
        <v>177</v>
      </c>
      <c r="B21" s="126" t="s">
        <v>178</v>
      </c>
      <c r="C21" s="52" t="s">
        <v>197</v>
      </c>
      <c r="D21" s="53">
        <v>1.9709543568464731</v>
      </c>
      <c r="E21" s="115"/>
      <c r="F21" s="54">
        <v>74.60580912863071</v>
      </c>
      <c r="G21" s="52"/>
      <c r="H21" s="56"/>
      <c r="I21" s="55"/>
      <c r="J21" s="55"/>
      <c r="K21" s="118"/>
      <c r="L21" s="116">
        <v>21</v>
      </c>
      <c r="M21" s="116"/>
      <c r="N21" s="122">
        <v>29</v>
      </c>
    </row>
    <row r="22" spans="1:14" ht="15" customHeight="1">
      <c r="A22" s="127" t="s">
        <v>174</v>
      </c>
      <c r="B22" s="126" t="s">
        <v>178</v>
      </c>
      <c r="C22" s="52" t="s">
        <v>205</v>
      </c>
      <c r="D22" s="53">
        <v>1.5601659751037344</v>
      </c>
      <c r="E22" s="59"/>
      <c r="F22" s="54">
        <v>76.88796680497926</v>
      </c>
      <c r="G22" s="52"/>
      <c r="H22" s="56"/>
      <c r="I22" s="55"/>
      <c r="J22" s="55"/>
      <c r="K22" s="118"/>
      <c r="L22" s="75">
        <v>22</v>
      </c>
      <c r="M22" s="75"/>
      <c r="N22" s="122">
        <v>18</v>
      </c>
    </row>
    <row r="23" spans="1:14" ht="15" customHeight="1">
      <c r="A23" s="127" t="s">
        <v>176</v>
      </c>
      <c r="B23" s="126" t="s">
        <v>177</v>
      </c>
      <c r="C23" s="52" t="s">
        <v>208</v>
      </c>
      <c r="D23" s="53">
        <v>4.435684647302905</v>
      </c>
      <c r="E23" s="52"/>
      <c r="F23" s="54">
        <v>60.912863070539416</v>
      </c>
      <c r="G23" s="52"/>
      <c r="H23" s="56"/>
      <c r="I23" s="55"/>
      <c r="J23" s="55"/>
      <c r="K23" s="118"/>
      <c r="L23" s="113">
        <v>23</v>
      </c>
      <c r="M23" s="113"/>
      <c r="N23" s="122">
        <v>95</v>
      </c>
    </row>
    <row r="24" spans="1:14" ht="15" customHeight="1">
      <c r="A24" s="121" t="s">
        <v>188</v>
      </c>
      <c r="B24" s="120" t="s">
        <v>177</v>
      </c>
      <c r="C24" s="52" t="s">
        <v>202</v>
      </c>
      <c r="D24" s="53">
        <v>3.87551867219917</v>
      </c>
      <c r="E24" s="115"/>
      <c r="F24" s="54">
        <v>64.02489626556016</v>
      </c>
      <c r="G24" s="52"/>
      <c r="H24" s="56"/>
      <c r="I24" s="55"/>
      <c r="J24" s="55"/>
      <c r="K24" s="118"/>
      <c r="L24" s="116">
        <v>24</v>
      </c>
      <c r="M24" s="116"/>
      <c r="N24" s="122">
        <v>80</v>
      </c>
    </row>
    <row r="25" spans="1:14" ht="15" customHeight="1">
      <c r="A25" s="121" t="s">
        <v>175</v>
      </c>
      <c r="B25" s="120" t="s">
        <v>177</v>
      </c>
      <c r="C25" s="52" t="s">
        <v>195</v>
      </c>
      <c r="D25" s="53">
        <v>2.2697095435684647</v>
      </c>
      <c r="E25" s="115"/>
      <c r="F25" s="54">
        <v>72.9460580912863</v>
      </c>
      <c r="G25" s="52"/>
      <c r="H25" s="56"/>
      <c r="I25" s="55"/>
      <c r="J25" s="55"/>
      <c r="K25" s="118"/>
      <c r="L25" s="116">
        <v>25</v>
      </c>
      <c r="M25" s="116"/>
      <c r="N25" s="122">
        <v>37</v>
      </c>
    </row>
    <row r="26" spans="1:14" ht="15" customHeight="1">
      <c r="A26" s="123" t="s">
        <v>178</v>
      </c>
      <c r="B26" s="125" t="s">
        <v>177</v>
      </c>
      <c r="C26" s="52" t="s">
        <v>195</v>
      </c>
      <c r="D26" s="53">
        <v>2.157676348547718</v>
      </c>
      <c r="E26" s="115"/>
      <c r="F26" s="54">
        <v>73.56846473029046</v>
      </c>
      <c r="G26" s="52"/>
      <c r="H26" s="56"/>
      <c r="I26" s="55"/>
      <c r="J26" s="55"/>
      <c r="K26" s="118"/>
      <c r="L26" s="116">
        <v>26</v>
      </c>
      <c r="M26" s="116"/>
      <c r="N26" s="122">
        <v>34</v>
      </c>
    </row>
    <row r="27" spans="1:14" ht="15" customHeight="1">
      <c r="A27" s="127" t="s">
        <v>174</v>
      </c>
      <c r="B27" s="126" t="s">
        <v>177</v>
      </c>
      <c r="C27" s="52" t="s">
        <v>202</v>
      </c>
      <c r="D27" s="53">
        <v>3.912863070539419</v>
      </c>
      <c r="E27" s="115"/>
      <c r="F27" s="54">
        <v>63.81742738589212</v>
      </c>
      <c r="G27" s="52"/>
      <c r="H27" s="56"/>
      <c r="I27" s="55"/>
      <c r="J27" s="55"/>
      <c r="K27" s="119"/>
      <c r="L27" s="116">
        <v>27</v>
      </c>
      <c r="M27" s="116"/>
      <c r="N27" s="122">
        <v>81</v>
      </c>
    </row>
    <row r="28" spans="1:14" ht="15" customHeight="1">
      <c r="A28" s="127" t="s">
        <v>176</v>
      </c>
      <c r="B28" s="126" t="s">
        <v>174</v>
      </c>
      <c r="C28" s="52" t="s">
        <v>208</v>
      </c>
      <c r="D28" s="53">
        <v>4.547717842323651</v>
      </c>
      <c r="E28" s="59"/>
      <c r="F28" s="54">
        <v>60.29045643153527</v>
      </c>
      <c r="G28" s="52"/>
      <c r="H28" s="56"/>
      <c r="I28" s="55"/>
      <c r="J28" s="55"/>
      <c r="K28" s="119"/>
      <c r="L28" s="75">
        <v>28</v>
      </c>
      <c r="M28" s="75"/>
      <c r="N28" s="122">
        <v>98</v>
      </c>
    </row>
    <row r="29" spans="1:14" ht="15" customHeight="1">
      <c r="A29" s="127" t="s">
        <v>188</v>
      </c>
      <c r="B29" s="126" t="s">
        <v>174</v>
      </c>
      <c r="C29" s="52" t="s">
        <v>209</v>
      </c>
      <c r="D29" s="53">
        <v>6.75103734439834</v>
      </c>
      <c r="E29" s="115"/>
      <c r="F29" s="54">
        <v>48.04979253112033</v>
      </c>
      <c r="G29" s="52"/>
      <c r="H29" s="56"/>
      <c r="I29" s="55"/>
      <c r="J29" s="55"/>
      <c r="K29" s="119"/>
      <c r="L29" s="116">
        <v>29</v>
      </c>
      <c r="M29" s="116"/>
      <c r="N29" s="122">
        <v>157</v>
      </c>
    </row>
    <row r="30" spans="1:14" ht="15" customHeight="1">
      <c r="A30" s="127" t="s">
        <v>175</v>
      </c>
      <c r="B30" s="126" t="s">
        <v>174</v>
      </c>
      <c r="C30" s="52" t="s">
        <v>202</v>
      </c>
      <c r="D30" s="53">
        <v>3.763485477178423</v>
      </c>
      <c r="E30" s="59"/>
      <c r="F30" s="54">
        <v>64.64730290456431</v>
      </c>
      <c r="G30" s="52"/>
      <c r="H30" s="56"/>
      <c r="I30" s="55"/>
      <c r="J30" s="55"/>
      <c r="K30" s="119"/>
      <c r="L30" s="75">
        <v>30</v>
      </c>
      <c r="M30" s="75"/>
      <c r="N30" s="122">
        <v>77</v>
      </c>
    </row>
    <row r="31" spans="1:14" ht="15" customHeight="1">
      <c r="A31" s="123" t="s">
        <v>178</v>
      </c>
      <c r="B31" s="125" t="s">
        <v>174</v>
      </c>
      <c r="C31" s="52" t="s">
        <v>210</v>
      </c>
      <c r="D31" s="53">
        <v>2.829875518672199</v>
      </c>
      <c r="E31" s="115"/>
      <c r="F31" s="54">
        <v>69.83402489626556</v>
      </c>
      <c r="G31" s="52"/>
      <c r="H31" s="56"/>
      <c r="I31" s="55"/>
      <c r="J31" s="55"/>
      <c r="K31" s="119"/>
      <c r="L31" s="116">
        <v>31</v>
      </c>
      <c r="M31" s="116"/>
      <c r="N31" s="122">
        <v>52</v>
      </c>
    </row>
    <row r="32" spans="1:14" ht="15" customHeight="1">
      <c r="A32" s="127" t="s">
        <v>177</v>
      </c>
      <c r="B32" s="126" t="s">
        <v>174</v>
      </c>
      <c r="C32" s="52" t="s">
        <v>203</v>
      </c>
      <c r="D32" s="53">
        <v>3.4273858921161824</v>
      </c>
      <c r="E32" s="52"/>
      <c r="F32" s="54">
        <v>66.51452282157676</v>
      </c>
      <c r="G32" s="52"/>
      <c r="H32" s="56"/>
      <c r="I32" s="55"/>
      <c r="J32" s="55"/>
      <c r="K32" s="119"/>
      <c r="L32" s="113">
        <v>32</v>
      </c>
      <c r="M32" s="113"/>
      <c r="N32" s="122">
        <v>68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ErrorMessage="1" sqref="N2:N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Color" prompt="To select an optional edge color, right-click and select Select Color on the right-click menu." sqref="C3:C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Opacity" prompt="Enter an optional edge opacity between 0 (transparent) and 100 (opaque)." errorTitle="Invalid Edge Opacity" error="The optional edge opacity must be a whole number between 0 and 10." sqref="F3:F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showErrorMessage="1" promptTitle="Vertex 1 Name" prompt="Enter the name of the edge's first vertex." sqref="A3:A32"/>
    <dataValidation allowBlank="1" showInputMessage="1" showErrorMessage="1" promptTitle="Vertex 2 Name" prompt="Enter the name of the edge's second vertex." sqref="B3:B32"/>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8"/>
  <sheetViews>
    <sheetView zoomScale="160" zoomScaleNormal="160" workbookViewId="0" topLeftCell="A1">
      <pane xSplit="1" ySplit="2" topLeftCell="B3" activePane="bottomRight" state="frozen"/>
      <selection pane="topRight" activeCell="B1" sqref="B1"/>
      <selection pane="bottomLeft" activeCell="A3" sqref="A3"/>
      <selection pane="bottomRight" activeCell="A2" sqref="A2:AC2"/>
    </sheetView>
  </sheetViews>
  <sheetFormatPr defaultColWidth="9.140625" defaultRowHeight="15"/>
  <cols>
    <col min="1" max="1" width="20.00390625" style="1" customWidth="1"/>
    <col min="2" max="2" width="7.8515625" style="0" customWidth="1"/>
    <col min="3" max="3" width="8.57421875" style="0" customWidth="1"/>
    <col min="4" max="4" width="6.7109375" style="0" customWidth="1"/>
    <col min="5" max="5" width="9.8515625" style="0" customWidth="1"/>
    <col min="6" max="6" width="53.28125" style="0" customWidth="1"/>
    <col min="7" max="7" width="11.00390625" style="0"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4.28125" style="2" customWidth="1"/>
    <col min="31" max="32" width="14.28125" style="3" customWidth="1"/>
    <col min="33" max="33" width="11.8515625" style="3" customWidth="1"/>
    <col min="34" max="34" width="14.421875" style="3" customWidth="1"/>
    <col min="35" max="35" width="5.00390625" style="0" customWidth="1"/>
    <col min="36" max="36" width="16.00390625" style="0" customWidth="1"/>
    <col min="37" max="37" width="16.00390625" style="0" bestFit="1" customWidth="1"/>
    <col min="38" max="39" width="9.140625" style="0"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3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3"/>
      <c r="AF2"/>
      <c r="AG2"/>
      <c r="AH2"/>
    </row>
    <row r="3" spans="1:29" ht="15">
      <c r="A3" s="14" t="s">
        <v>178</v>
      </c>
      <c r="B3" s="101"/>
      <c r="C3" s="101"/>
      <c r="D3" s="76">
        <v>1000</v>
      </c>
      <c r="E3" s="102"/>
      <c r="F3" s="86" t="s">
        <v>181</v>
      </c>
      <c r="G3" s="101"/>
      <c r="H3" s="103"/>
      <c r="I3" s="104"/>
      <c r="J3" s="104"/>
      <c r="K3" s="103" t="s">
        <v>178</v>
      </c>
      <c r="L3" s="105">
        <v>4000.2</v>
      </c>
      <c r="M3" s="106">
        <v>3195.009521484375</v>
      </c>
      <c r="N3" s="106">
        <v>885.7493896484375</v>
      </c>
      <c r="O3" s="107"/>
      <c r="P3" s="108"/>
      <c r="Q3" s="108"/>
      <c r="R3" s="81">
        <v>3</v>
      </c>
      <c r="S3" s="109"/>
      <c r="T3" s="109"/>
      <c r="U3" s="109"/>
      <c r="V3" s="110"/>
      <c r="W3" s="110"/>
      <c r="X3" s="110"/>
      <c r="Y3" s="110"/>
      <c r="Z3" s="111"/>
      <c r="AA3" s="112">
        <v>3</v>
      </c>
      <c r="AB3" s="112"/>
      <c r="AC3" s="83"/>
    </row>
    <row r="4" spans="1:29" ht="15">
      <c r="A4" s="87" t="s">
        <v>174</v>
      </c>
      <c r="B4" s="101"/>
      <c r="C4" s="101"/>
      <c r="D4" s="76">
        <v>1000</v>
      </c>
      <c r="E4" s="102"/>
      <c r="F4" s="86" t="s">
        <v>189</v>
      </c>
      <c r="G4" s="101"/>
      <c r="H4" s="103"/>
      <c r="I4" s="104"/>
      <c r="J4" s="104"/>
      <c r="K4" s="103" t="s">
        <v>174</v>
      </c>
      <c r="L4" s="105">
        <v>5999.8</v>
      </c>
      <c r="M4" s="106">
        <v>1390.5191650390625</v>
      </c>
      <c r="N4" s="106">
        <v>4999.5</v>
      </c>
      <c r="O4" s="107"/>
      <c r="P4" s="108"/>
      <c r="Q4" s="108"/>
      <c r="R4" s="109">
        <v>4</v>
      </c>
      <c r="S4" s="109"/>
      <c r="T4" s="109"/>
      <c r="U4" s="109"/>
      <c r="V4" s="110"/>
      <c r="W4" s="110"/>
      <c r="X4" s="110"/>
      <c r="Y4" s="110"/>
      <c r="Z4" s="111"/>
      <c r="AA4" s="112">
        <v>4</v>
      </c>
      <c r="AB4" s="112"/>
      <c r="AC4" s="98"/>
    </row>
    <row r="5" spans="1:29" ht="15">
      <c r="A5" s="14" t="s">
        <v>188</v>
      </c>
      <c r="B5" s="15"/>
      <c r="C5" s="15"/>
      <c r="D5" s="76">
        <v>1000</v>
      </c>
      <c r="E5" s="77"/>
      <c r="F5" s="117" t="s">
        <v>204</v>
      </c>
      <c r="G5" s="15"/>
      <c r="H5" s="16"/>
      <c r="I5" s="60"/>
      <c r="J5" s="60"/>
      <c r="K5" s="16" t="s">
        <v>188</v>
      </c>
      <c r="L5" s="78">
        <v>7999.4</v>
      </c>
      <c r="M5" s="79">
        <v>3195.009521484375</v>
      </c>
      <c r="N5" s="79">
        <v>9113.2509765625</v>
      </c>
      <c r="O5" s="70"/>
      <c r="P5" s="80"/>
      <c r="Q5" s="80"/>
      <c r="R5" s="109">
        <v>5</v>
      </c>
      <c r="S5" s="81"/>
      <c r="T5" s="81"/>
      <c r="U5" s="81"/>
      <c r="V5" s="51"/>
      <c r="W5" s="51"/>
      <c r="X5" s="51"/>
      <c r="Y5" s="51"/>
      <c r="Z5" s="50"/>
      <c r="AA5" s="82">
        <v>5</v>
      </c>
      <c r="AB5" s="82"/>
      <c r="AC5" s="83"/>
    </row>
    <row r="6" spans="1:29" ht="15">
      <c r="A6" s="14" t="s">
        <v>175</v>
      </c>
      <c r="B6" s="101"/>
      <c r="C6" s="101"/>
      <c r="D6" s="76">
        <v>1000</v>
      </c>
      <c r="E6" s="102"/>
      <c r="F6" s="86" t="s">
        <v>180</v>
      </c>
      <c r="G6" s="101"/>
      <c r="H6" s="103"/>
      <c r="I6" s="104"/>
      <c r="J6" s="104"/>
      <c r="K6" s="103" t="s">
        <v>175</v>
      </c>
      <c r="L6" s="105">
        <v>9999</v>
      </c>
      <c r="M6" s="106">
        <v>6803.990234375</v>
      </c>
      <c r="N6" s="106">
        <v>9113.2509765625</v>
      </c>
      <c r="O6" s="107"/>
      <c r="P6" s="108"/>
      <c r="Q6" s="108"/>
      <c r="R6" s="96">
        <v>6</v>
      </c>
      <c r="S6" s="109"/>
      <c r="T6" s="109"/>
      <c r="U6" s="109"/>
      <c r="V6" s="110"/>
      <c r="W6" s="110"/>
      <c r="X6" s="110"/>
      <c r="Y6" s="110"/>
      <c r="Z6" s="111"/>
      <c r="AA6" s="112">
        <v>6</v>
      </c>
      <c r="AB6" s="112"/>
      <c r="AC6" s="83"/>
    </row>
    <row r="7" spans="1:29" ht="15">
      <c r="A7" s="14" t="s">
        <v>177</v>
      </c>
      <c r="B7" s="101"/>
      <c r="C7" s="101"/>
      <c r="D7" s="76">
        <v>1000</v>
      </c>
      <c r="E7" s="102"/>
      <c r="F7" s="124" t="s">
        <v>212</v>
      </c>
      <c r="G7" s="101"/>
      <c r="H7" s="103"/>
      <c r="I7" s="104"/>
      <c r="J7" s="104"/>
      <c r="K7" s="103" t="s">
        <v>177</v>
      </c>
      <c r="L7" s="105">
        <v>1</v>
      </c>
      <c r="M7" s="106">
        <v>8608.48046875</v>
      </c>
      <c r="N7" s="106">
        <v>4999.5</v>
      </c>
      <c r="O7" s="107"/>
      <c r="P7" s="108"/>
      <c r="Q7" s="108"/>
      <c r="R7" s="109">
        <v>1</v>
      </c>
      <c r="S7" s="109"/>
      <c r="T7" s="109"/>
      <c r="U7" s="109"/>
      <c r="V7" s="110"/>
      <c r="W7" s="110"/>
      <c r="X7" s="110"/>
      <c r="Y7" s="110"/>
      <c r="Z7" s="111"/>
      <c r="AA7" s="112">
        <v>7</v>
      </c>
      <c r="AB7" s="112"/>
      <c r="AC7" s="83"/>
    </row>
    <row r="8" spans="1:29" ht="15">
      <c r="A8" s="14" t="s">
        <v>176</v>
      </c>
      <c r="B8" s="88"/>
      <c r="C8" s="88"/>
      <c r="D8" s="76">
        <v>1000</v>
      </c>
      <c r="E8" s="89"/>
      <c r="F8" s="100" t="s">
        <v>190</v>
      </c>
      <c r="G8" s="88"/>
      <c r="H8" s="90"/>
      <c r="I8" s="91"/>
      <c r="J8" s="91"/>
      <c r="K8" s="90" t="s">
        <v>176</v>
      </c>
      <c r="L8" s="92">
        <v>2000.6</v>
      </c>
      <c r="M8" s="93">
        <v>6803.990234375</v>
      </c>
      <c r="N8" s="93">
        <v>885.7493896484375</v>
      </c>
      <c r="O8" s="94"/>
      <c r="P8" s="95"/>
      <c r="Q8" s="95"/>
      <c r="R8" s="81">
        <v>2</v>
      </c>
      <c r="S8" s="96"/>
      <c r="T8" s="96"/>
      <c r="U8" s="96"/>
      <c r="V8" s="84"/>
      <c r="W8" s="84"/>
      <c r="X8" s="84"/>
      <c r="Y8" s="84"/>
      <c r="Z8" s="85"/>
      <c r="AA8" s="97">
        <v>8</v>
      </c>
      <c r="AB8" s="97"/>
      <c r="AC8" s="83"/>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 allowBlank="1" showInputMessage="1" promptTitle="Vertex Image File" prompt="Enter the path to an image file.  Hover over the column header for examples." errorTitle="Invalid Vertex Image Key" sqref="F3:F8"/>
  </dataValidations>
  <hyperlinks>
    <hyperlink ref="F3" r:id="rId1" display="https://pbs.twimg.com/profile_images/711126987239243776/GeF-JOiK_400x400.jpg"/>
    <hyperlink ref="F4" r:id="rId2" display="https://pbs.twimg.com/profile_images/1023868064385904640/bO-q83we_400x400.jpg"/>
    <hyperlink ref="F8" r:id="rId3" display="https://pbs.twimg.com/profile_images/1095661538172719104/j02UvQFQ_400x400.png"/>
    <hyperlink ref="F6" r:id="rId4" display="https://pbs.twimg.com/profile_images/2527256269/ursvsnoadffhlpb3yaek_400x400.png"/>
    <hyperlink ref="F5" r:id="rId5" display="https://pbs.twimg.com/profile_images/1176876229615656961/X0-g_4jF_400x400.jpg"/>
    <hyperlink ref="F7" r:id="rId6" display="http://pbs.twimg.com/profile_images/1107901459939635200/d5j5nN0x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61" t="s">
        <v>39</v>
      </c>
      <c r="C1" s="62"/>
      <c r="D1" s="62"/>
      <c r="E1" s="63"/>
      <c r="F1" s="60" t="s">
        <v>43</v>
      </c>
      <c r="G1" s="64" t="s">
        <v>44</v>
      </c>
      <c r="H1" s="65"/>
      <c r="I1" s="66" t="s">
        <v>40</v>
      </c>
      <c r="J1" s="67"/>
      <c r="K1" s="68" t="s">
        <v>42</v>
      </c>
      <c r="L1" s="69"/>
      <c r="M1" s="69"/>
      <c r="N1" s="69"/>
      <c r="O1" s="69"/>
      <c r="P1" s="69"/>
      <c r="Q1" s="69"/>
      <c r="R1" s="69"/>
      <c r="S1" s="69"/>
      <c r="T1" s="69"/>
      <c r="U1" s="69"/>
      <c r="V1" s="69"/>
      <c r="W1" s="69"/>
      <c r="X1" s="69"/>
    </row>
    <row r="2" spans="1:24"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14"/>
      <c r="B3" s="15"/>
      <c r="C3" s="15"/>
      <c r="D3" s="15"/>
      <c r="E3" s="15"/>
      <c r="F3" s="16"/>
      <c r="G3" s="70"/>
      <c r="H3" s="70"/>
      <c r="I3" s="57"/>
      <c r="J3" s="57"/>
      <c r="K3" s="48"/>
      <c r="L3" s="48"/>
      <c r="M3" s="48"/>
      <c r="N3" s="48"/>
      <c r="O3" s="48"/>
      <c r="P3" s="48"/>
      <c r="Q3" s="48"/>
      <c r="R3" s="48"/>
      <c r="S3" s="48"/>
      <c r="T3" s="48"/>
      <c r="U3" s="48"/>
      <c r="V3" s="48"/>
      <c r="W3" s="49"/>
      <c r="X3" s="49"/>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row r="2" ht="15">
      <c r="C2" s="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1</v>
      </c>
      <c r="E2" s="3">
        <f>COUNTIF(Vertices[Degree],"&gt;= "&amp;D2)-COUNTIF(Vertices[Degree],"&gt;="&amp;D3)</f>
        <v>1</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36"/>
      <c r="B3" s="36"/>
      <c r="D3" s="34">
        <f aca="true" t="shared" si="1" ref="D3:D26">D2+($D$57-$D$2)/BinDivisor</f>
        <v>1.0909090909090908</v>
      </c>
      <c r="E3" s="3">
        <f>COUNTIF(Vertices[Degree],"&gt;= "&amp;D3)-COUNTIF(Vertices[Degree],"&gt;="&amp;D4)</f>
        <v>0</v>
      </c>
      <c r="F3" s="41">
        <f aca="true" t="shared" si="2" ref="F3:F26">F2+($F$57-$F$2)/BinDivisor</f>
        <v>0</v>
      </c>
      <c r="G3" s="42">
        <f>COUNTIF(Vertices[In-Degree],"&gt;= "&amp;F3)-COUNTIF(Vertices[In-Degree],"&gt;="&amp;F4)</f>
        <v>0</v>
      </c>
      <c r="H3" s="41">
        <f aca="true" t="shared" si="3" ref="H3:H26">H2+($H$57-$H$2)/BinDivisor</f>
        <v>0</v>
      </c>
      <c r="I3" s="42">
        <f>COUNTIF(Vertices[Out-Degree],"&gt;= "&amp;H3)-COUNTIF(Vertices[Out-Degree],"&gt;="&amp;H4)</f>
        <v>0</v>
      </c>
      <c r="J3" s="41">
        <f aca="true" t="shared" si="4" ref="J3:J26">J2+($J$57-$J$2)/BinDivisor</f>
        <v>0</v>
      </c>
      <c r="K3" s="42">
        <f>COUNTIF(Vertices[Betweenness Centrality],"&gt;= "&amp;J3)-COUNTIF(Vertices[Betweenness Centrality],"&gt;="&amp;J4)</f>
        <v>0</v>
      </c>
      <c r="L3" s="41">
        <f aca="true" t="shared" si="5" ref="L3:L26">L2+($L$57-$L$2)/BinDivisor</f>
        <v>0</v>
      </c>
      <c r="M3" s="42">
        <f>COUNTIF(Vertices[Closeness Centrality],"&gt;= "&amp;L3)-COUNTIF(Vertices[Closeness Centrality],"&gt;="&amp;L4)</f>
        <v>0</v>
      </c>
      <c r="N3" s="41">
        <f aca="true" t="shared" si="6" ref="N3:N26">N2+($N$57-$N$2)/BinDivisor</f>
        <v>0</v>
      </c>
      <c r="O3" s="42">
        <f>COUNTIF(Vertices[Eigenvector Centrality],"&gt;= "&amp;N3)-COUNTIF(Vertices[Eigenvector Centrality],"&gt;="&amp;N4)</f>
        <v>0</v>
      </c>
      <c r="P3" s="41">
        <f aca="true" t="shared" si="7" ref="P3:P26">P2+($P$57-$P$2)/BinDivisor</f>
        <v>0</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c r="B4" s="36"/>
      <c r="D4" s="34">
        <f t="shared" si="1"/>
        <v>1.1818181818181817</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1.2727272727272725</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1.3636363636363633</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1.4545454545454541</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1.545454545454545</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1.6363636363636358</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1.7272727272727266</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1.8181818181818175</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1.9090909090909083</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1.9999999999999991</v>
      </c>
      <c r="E13" s="3">
        <f>COUNTIF(Vertices[Degree],"&gt;= "&amp;D13)-COUNTIF(Vertices[Degree],"&gt;="&amp;D14)</f>
        <v>1</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2.09090909090909</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2.1818181818181808</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2.2727272727272716</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2.3636363636363624</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2.4545454545454533</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2.545454545454544</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2.636363636363635</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2.7272727272727257</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2.8181818181818166</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2.9090909090909074</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2.9999999999999982</v>
      </c>
      <c r="E24" s="3">
        <f>COUNTIF(Vertices[Degree],"&gt;= "&amp;D24)-COUNTIF(Vertices[Degree],"&gt;="&amp;D25)</f>
        <v>1</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3.090909090909089</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3.18181818181818</v>
      </c>
      <c r="E26" s="3">
        <f>COUNTIF(Vertices[Degree],"&gt;= "&amp;D26)-COUNTIF(Vertices[Degree],"&gt;="&amp;D28)</f>
        <v>0</v>
      </c>
      <c r="F26" s="39">
        <f t="shared" si="2"/>
        <v>0</v>
      </c>
      <c r="G26" s="40">
        <f>COUNTIF(Vertices[In-Degree],"&gt;= "&amp;F26)-COUNTIF(Vertices[In-Degree],"&gt;="&amp;F28)</f>
        <v>0</v>
      </c>
      <c r="H26" s="39">
        <f t="shared" si="3"/>
        <v>0</v>
      </c>
      <c r="I26" s="40">
        <f>COUNTIF(Vertices[Out-Degree],"&gt;= "&amp;H26)-COUNTIF(Vertices[Out-Degree],"&gt;="&amp;H28)</f>
        <v>0</v>
      </c>
      <c r="J26" s="39">
        <f t="shared" si="4"/>
        <v>0</v>
      </c>
      <c r="K26" s="40">
        <f>COUNTIF(Vertices[Betweenness Centrality],"&gt;= "&amp;J26)-COUNTIF(Vertices[Betweenness Centrality],"&gt;="&amp;J28)</f>
        <v>0</v>
      </c>
      <c r="L26" s="39">
        <f t="shared" si="5"/>
        <v>0</v>
      </c>
      <c r="M26" s="40">
        <f>COUNTIF(Vertices[Closeness Centrality],"&gt;= "&amp;L26)-COUNTIF(Vertices[Closeness Centrality],"&gt;="&amp;L28)</f>
        <v>0</v>
      </c>
      <c r="N26" s="39">
        <f t="shared" si="6"/>
        <v>0</v>
      </c>
      <c r="O26" s="40">
        <f>COUNTIF(Vertices[Eigenvector Centrality],"&gt;= "&amp;N26)-COUNTIF(Vertices[Eigenvector Centrality],"&gt;="&amp;N28)</f>
        <v>0</v>
      </c>
      <c r="P26" s="39">
        <f t="shared" si="7"/>
        <v>0</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74"/>
      <c r="B27" s="74"/>
      <c r="D27" s="34"/>
      <c r="E27" s="3">
        <f>COUNTIF(Vertices[Degree],"&gt;= "&amp;D27)-COUNTIF(Vertices[Degree],"&gt;="&amp;D28)</f>
        <v>-3</v>
      </c>
      <c r="F27" s="71"/>
      <c r="G27" s="72">
        <f>COUNTIF(Vertices[In-Degree],"&gt;= "&amp;F27)-COUNTIF(Vertices[In-Degree],"&gt;="&amp;F28)</f>
        <v>0</v>
      </c>
      <c r="H27" s="71"/>
      <c r="I27" s="72">
        <f>COUNTIF(Vertices[Out-Degree],"&gt;= "&amp;H27)-COUNTIF(Vertices[Out-Degree],"&gt;="&amp;H28)</f>
        <v>0</v>
      </c>
      <c r="J27" s="71"/>
      <c r="K27" s="72">
        <f>COUNTIF(Vertices[Betweenness Centrality],"&gt;= "&amp;J27)-COUNTIF(Vertices[Betweenness Centrality],"&gt;="&amp;J28)</f>
        <v>0</v>
      </c>
      <c r="L27" s="71"/>
      <c r="M27" s="72">
        <f>COUNTIF(Vertices[Closeness Centrality],"&gt;= "&amp;L27)-COUNTIF(Vertices[Closeness Centrality],"&gt;="&amp;L28)</f>
        <v>0</v>
      </c>
      <c r="N27" s="71"/>
      <c r="O27" s="72">
        <f>COUNTIF(Vertices[Eigenvector Centrality],"&gt;= "&amp;N27)-COUNTIF(Vertices[Eigenvector Centrality],"&gt;="&amp;N28)</f>
        <v>0</v>
      </c>
      <c r="P27" s="71"/>
      <c r="Q27" s="72">
        <f>COUNTIF(Vertices[Eigenvector Centrality],"&gt;= "&amp;P27)-COUNTIF(Vertices[Eigenvector Centrality],"&gt;="&amp;P28)</f>
        <v>0</v>
      </c>
      <c r="R27" s="71"/>
      <c r="S27" s="73">
        <f>COUNTIF(Vertices[Clustering Coefficient],"&gt;= "&amp;R27)-COUNTIF(Vertices[Clustering Coefficient],"&gt;="&amp;R28)</f>
        <v>0</v>
      </c>
      <c r="T27" s="71"/>
      <c r="U27" s="72">
        <f ca="1">COUNTIF(Vertices[Clustering Coefficient],"&gt;= "&amp;T27)-COUNTIF(Vertices[Clustering Coefficient],"&gt;="&amp;T28)</f>
        <v>0</v>
      </c>
    </row>
    <row r="28" spans="1:21" ht="15">
      <c r="A28" s="36"/>
      <c r="B28" s="36"/>
      <c r="D28" s="34">
        <f>D26+($D$57-$D$2)/BinDivisor</f>
        <v>3.2727272727272707</v>
      </c>
      <c r="E28" s="3">
        <f>COUNTIF(Vertices[Degree],"&gt;= "&amp;D28)-COUNTIF(Vertices[Degree],"&gt;="&amp;D40)</f>
        <v>0</v>
      </c>
      <c r="F28" s="41">
        <f>F26+($F$57-$F$2)/BinDivisor</f>
        <v>0</v>
      </c>
      <c r="G28" s="42">
        <f>COUNTIF(Vertices[In-Degree],"&gt;= "&amp;F28)-COUNTIF(Vertices[In-Degree],"&gt;="&amp;F40)</f>
        <v>0</v>
      </c>
      <c r="H28" s="41">
        <f>H26+($H$57-$H$2)/BinDivisor</f>
        <v>0</v>
      </c>
      <c r="I28" s="42">
        <f>COUNTIF(Vertices[Out-Degree],"&gt;= "&amp;H28)-COUNTIF(Vertices[Out-Degree],"&gt;="&amp;H40)</f>
        <v>0</v>
      </c>
      <c r="J28" s="41">
        <f>J26+($J$57-$J$2)/BinDivisor</f>
        <v>0</v>
      </c>
      <c r="K28" s="42">
        <f>COUNTIF(Vertices[Betweenness Centrality],"&gt;= "&amp;J28)-COUNTIF(Vertices[Betweenness Centrality],"&gt;="&amp;J40)</f>
        <v>0</v>
      </c>
      <c r="L28" s="41">
        <f>L26+($L$57-$L$2)/BinDivisor</f>
        <v>0</v>
      </c>
      <c r="M28" s="42">
        <f>COUNTIF(Vertices[Closeness Centrality],"&gt;= "&amp;L28)-COUNTIF(Vertices[Closeness Centrality],"&gt;="&amp;L40)</f>
        <v>0</v>
      </c>
      <c r="N28" s="41">
        <f>N26+($N$57-$N$2)/BinDivisor</f>
        <v>0</v>
      </c>
      <c r="O28" s="42">
        <f>COUNTIF(Vertices[Eigenvector Centrality],"&gt;= "&amp;N28)-COUNTIF(Vertices[Eigenvector Centrality],"&gt;="&amp;N40)</f>
        <v>0</v>
      </c>
      <c r="P28" s="41">
        <f>P26+($P$57-$P$2)/BinDivisor</f>
        <v>0</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c r="B29" s="36"/>
      <c r="D29" s="34"/>
      <c r="E29" s="3">
        <f>COUNTIF(Vertices[Degree],"&gt;= "&amp;D29)-COUNTIF(Vertices[Degree],"&gt;="&amp;D30)</f>
        <v>0</v>
      </c>
      <c r="F29" s="71"/>
      <c r="G29" s="72">
        <f>COUNTIF(Vertices[In-Degree],"&gt;= "&amp;F29)-COUNTIF(Vertices[In-Degree],"&gt;="&amp;F30)</f>
        <v>0</v>
      </c>
      <c r="H29" s="71"/>
      <c r="I29" s="72">
        <f>COUNTIF(Vertices[Out-Degree],"&gt;= "&amp;H29)-COUNTIF(Vertices[Out-Degree],"&gt;="&amp;H30)</f>
        <v>0</v>
      </c>
      <c r="J29" s="71"/>
      <c r="K29" s="72">
        <f>COUNTIF(Vertices[Betweenness Centrality],"&gt;= "&amp;J29)-COUNTIF(Vertices[Betweenness Centrality],"&gt;="&amp;J30)</f>
        <v>0</v>
      </c>
      <c r="L29" s="71"/>
      <c r="M29" s="72">
        <f>COUNTIF(Vertices[Closeness Centrality],"&gt;= "&amp;L29)-COUNTIF(Vertices[Closeness Centrality],"&gt;="&amp;L30)</f>
        <v>0</v>
      </c>
      <c r="N29" s="71"/>
      <c r="O29" s="72">
        <f>COUNTIF(Vertices[Eigenvector Centrality],"&gt;= "&amp;N29)-COUNTIF(Vertices[Eigenvector Centrality],"&gt;="&amp;N30)</f>
        <v>0</v>
      </c>
      <c r="P29" s="71"/>
      <c r="Q29" s="72">
        <f>COUNTIF(Vertices[Eigenvector Centrality],"&gt;= "&amp;P29)-COUNTIF(Vertices[Eigenvector Centrality],"&gt;="&amp;P30)</f>
        <v>0</v>
      </c>
      <c r="R29" s="71"/>
      <c r="S29" s="73">
        <f>COUNTIF(Vertices[Clustering Coefficient],"&gt;= "&amp;R29)-COUNTIF(Vertices[Clustering Coefficient],"&gt;="&amp;R30)</f>
        <v>0</v>
      </c>
      <c r="T29" s="71"/>
      <c r="U29" s="72">
        <f>COUNTIF(Vertices[Clustering Coefficient],"&gt;= "&amp;T29)-COUNTIF(Vertices[Clustering Coefficient],"&gt;="&amp;T30)</f>
        <v>0</v>
      </c>
    </row>
    <row r="30" spans="1:21" ht="15">
      <c r="A30" s="36"/>
      <c r="B30" s="36"/>
      <c r="D30" s="34"/>
      <c r="E30" s="3">
        <f>COUNTIF(Vertices[Degree],"&gt;= "&amp;D30)-COUNTIF(Vertices[Degree],"&gt;="&amp;D31)</f>
        <v>0</v>
      </c>
      <c r="F30" s="71"/>
      <c r="G30" s="72">
        <f>COUNTIF(Vertices[In-Degree],"&gt;= "&amp;F30)-COUNTIF(Vertices[In-Degree],"&gt;="&amp;F31)</f>
        <v>0</v>
      </c>
      <c r="H30" s="71"/>
      <c r="I30" s="72">
        <f>COUNTIF(Vertices[Out-Degree],"&gt;= "&amp;H30)-COUNTIF(Vertices[Out-Degree],"&gt;="&amp;H31)</f>
        <v>0</v>
      </c>
      <c r="J30" s="71"/>
      <c r="K30" s="72">
        <f>COUNTIF(Vertices[Betweenness Centrality],"&gt;= "&amp;J30)-COUNTIF(Vertices[Betweenness Centrality],"&gt;="&amp;J31)</f>
        <v>0</v>
      </c>
      <c r="L30" s="71"/>
      <c r="M30" s="72">
        <f>COUNTIF(Vertices[Closeness Centrality],"&gt;= "&amp;L30)-COUNTIF(Vertices[Closeness Centrality],"&gt;="&amp;L31)</f>
        <v>0</v>
      </c>
      <c r="N30" s="71"/>
      <c r="O30" s="72">
        <f>COUNTIF(Vertices[Eigenvector Centrality],"&gt;= "&amp;N30)-COUNTIF(Vertices[Eigenvector Centrality],"&gt;="&amp;N31)</f>
        <v>0</v>
      </c>
      <c r="P30" s="71"/>
      <c r="Q30" s="72">
        <f>COUNTIF(Vertices[Eigenvector Centrality],"&gt;= "&amp;P30)-COUNTIF(Vertices[Eigenvector Centrality],"&gt;="&amp;P31)</f>
        <v>0</v>
      </c>
      <c r="R30" s="71"/>
      <c r="S30" s="73">
        <f>COUNTIF(Vertices[Clustering Coefficient],"&gt;= "&amp;R30)-COUNTIF(Vertices[Clustering Coefficient],"&gt;="&amp;R31)</f>
        <v>0</v>
      </c>
      <c r="T30" s="71"/>
      <c r="U30" s="72">
        <f>COUNTIF(Vertices[Clustering Coefficient],"&gt;= "&amp;T30)-COUNTIF(Vertices[Clustering Coefficient],"&gt;="&amp;T31)</f>
        <v>0</v>
      </c>
    </row>
    <row r="31" spans="1:21" ht="15">
      <c r="A31" s="36"/>
      <c r="B31" s="36"/>
      <c r="D31" s="34"/>
      <c r="E31" s="3">
        <f>COUNTIF(Vertices[Degree],"&gt;= "&amp;D31)-COUNTIF(Vertices[Degree],"&gt;="&amp;D32)</f>
        <v>0</v>
      </c>
      <c r="F31" s="71"/>
      <c r="G31" s="72">
        <f>COUNTIF(Vertices[In-Degree],"&gt;= "&amp;F31)-COUNTIF(Vertices[In-Degree],"&gt;="&amp;F32)</f>
        <v>0</v>
      </c>
      <c r="H31" s="71"/>
      <c r="I31" s="72">
        <f>COUNTIF(Vertices[Out-Degree],"&gt;= "&amp;H31)-COUNTIF(Vertices[Out-Degree],"&gt;="&amp;H32)</f>
        <v>0</v>
      </c>
      <c r="J31" s="71"/>
      <c r="K31" s="72">
        <f>COUNTIF(Vertices[Betweenness Centrality],"&gt;= "&amp;J31)-COUNTIF(Vertices[Betweenness Centrality],"&gt;="&amp;J32)</f>
        <v>0</v>
      </c>
      <c r="L31" s="71"/>
      <c r="M31" s="72">
        <f>COUNTIF(Vertices[Closeness Centrality],"&gt;= "&amp;L31)-COUNTIF(Vertices[Closeness Centrality],"&gt;="&amp;L32)</f>
        <v>0</v>
      </c>
      <c r="N31" s="71"/>
      <c r="O31" s="72">
        <f>COUNTIF(Vertices[Eigenvector Centrality],"&gt;= "&amp;N31)-COUNTIF(Vertices[Eigenvector Centrality],"&gt;="&amp;N32)</f>
        <v>0</v>
      </c>
      <c r="P31" s="71"/>
      <c r="Q31" s="72">
        <f>COUNTIF(Vertices[Eigenvector Centrality],"&gt;= "&amp;P31)-COUNTIF(Vertices[Eigenvector Centrality],"&gt;="&amp;P32)</f>
        <v>0</v>
      </c>
      <c r="R31" s="71"/>
      <c r="S31" s="73">
        <f>COUNTIF(Vertices[Clustering Coefficient],"&gt;= "&amp;R31)-COUNTIF(Vertices[Clustering Coefficient],"&gt;="&amp;R32)</f>
        <v>0</v>
      </c>
      <c r="T31" s="71"/>
      <c r="U31" s="72">
        <f>COUNTIF(Vertices[Clustering Coefficient],"&gt;= "&amp;T31)-COUNTIF(Vertices[Clustering Coefficient],"&gt;="&amp;T32)</f>
        <v>0</v>
      </c>
    </row>
    <row r="32" spans="1:21" ht="15">
      <c r="A32" s="36"/>
      <c r="B32" s="36"/>
      <c r="D32" s="34"/>
      <c r="E32" s="3">
        <f>COUNTIF(Vertices[Degree],"&gt;= "&amp;D32)-COUNTIF(Vertices[Degree],"&gt;="&amp;D33)</f>
        <v>0</v>
      </c>
      <c r="F32" s="71"/>
      <c r="G32" s="72">
        <f>COUNTIF(Vertices[In-Degree],"&gt;= "&amp;F32)-COUNTIF(Vertices[In-Degree],"&gt;="&amp;F33)</f>
        <v>0</v>
      </c>
      <c r="H32" s="71"/>
      <c r="I32" s="72">
        <f>COUNTIF(Vertices[Out-Degree],"&gt;= "&amp;H32)-COUNTIF(Vertices[Out-Degree],"&gt;="&amp;H33)</f>
        <v>0</v>
      </c>
      <c r="J32" s="71"/>
      <c r="K32" s="72">
        <f>COUNTIF(Vertices[Betweenness Centrality],"&gt;= "&amp;J32)-COUNTIF(Vertices[Betweenness Centrality],"&gt;="&amp;J33)</f>
        <v>0</v>
      </c>
      <c r="L32" s="71"/>
      <c r="M32" s="72">
        <f>COUNTIF(Vertices[Closeness Centrality],"&gt;= "&amp;L32)-COUNTIF(Vertices[Closeness Centrality],"&gt;="&amp;L33)</f>
        <v>0</v>
      </c>
      <c r="N32" s="71"/>
      <c r="O32" s="72">
        <f>COUNTIF(Vertices[Eigenvector Centrality],"&gt;= "&amp;N32)-COUNTIF(Vertices[Eigenvector Centrality],"&gt;="&amp;N33)</f>
        <v>0</v>
      </c>
      <c r="P32" s="71"/>
      <c r="Q32" s="72">
        <f>COUNTIF(Vertices[Eigenvector Centrality],"&gt;= "&amp;P32)-COUNTIF(Vertices[Eigenvector Centrality],"&gt;="&amp;P33)</f>
        <v>0</v>
      </c>
      <c r="R32" s="71"/>
      <c r="S32" s="73">
        <f>COUNTIF(Vertices[Clustering Coefficient],"&gt;= "&amp;R32)-COUNTIF(Vertices[Clustering Coefficient],"&gt;="&amp;R33)</f>
        <v>0</v>
      </c>
      <c r="T32" s="71"/>
      <c r="U32" s="72">
        <f>COUNTIF(Vertices[Clustering Coefficient],"&gt;= "&amp;T32)-COUNTIF(Vertices[Clustering Coefficient],"&gt;="&amp;T33)</f>
        <v>0</v>
      </c>
    </row>
    <row r="33" spans="1:21" ht="15">
      <c r="A33" s="74"/>
      <c r="B33" s="74"/>
      <c r="D33" s="34"/>
      <c r="E33" s="3">
        <f>COUNTIF(Vertices[Degree],"&gt;= "&amp;D33)-COUNTIF(Vertices[Degree],"&gt;="&amp;D38)</f>
        <v>0</v>
      </c>
      <c r="F33" s="71"/>
      <c r="G33" s="72">
        <f>COUNTIF(Vertices[In-Degree],"&gt;= "&amp;F33)-COUNTIF(Vertices[In-Degree],"&gt;="&amp;F38)</f>
        <v>0</v>
      </c>
      <c r="H33" s="71"/>
      <c r="I33" s="72">
        <f>COUNTIF(Vertices[Out-Degree],"&gt;= "&amp;H33)-COUNTIF(Vertices[Out-Degree],"&gt;="&amp;H38)</f>
        <v>0</v>
      </c>
      <c r="J33" s="71"/>
      <c r="K33" s="72">
        <f>COUNTIF(Vertices[Betweenness Centrality],"&gt;= "&amp;J33)-COUNTIF(Vertices[Betweenness Centrality],"&gt;="&amp;J38)</f>
        <v>0</v>
      </c>
      <c r="L33" s="71"/>
      <c r="M33" s="72">
        <f>COUNTIF(Vertices[Closeness Centrality],"&gt;= "&amp;L33)-COUNTIF(Vertices[Closeness Centrality],"&gt;="&amp;L38)</f>
        <v>0</v>
      </c>
      <c r="N33" s="71"/>
      <c r="O33" s="72">
        <f>COUNTIF(Vertices[Eigenvector Centrality],"&gt;= "&amp;N33)-COUNTIF(Vertices[Eigenvector Centrality],"&gt;="&amp;N38)</f>
        <v>0</v>
      </c>
      <c r="P33" s="71"/>
      <c r="Q33" s="72">
        <f>COUNTIF(Vertices[Eigenvector Centrality],"&gt;= "&amp;P33)-COUNTIF(Vertices[Eigenvector Centrality],"&gt;="&amp;P38)</f>
        <v>0</v>
      </c>
      <c r="R33" s="71"/>
      <c r="S33" s="73">
        <f>COUNTIF(Vertices[Clustering Coefficient],"&gt;= "&amp;R33)-COUNTIF(Vertices[Clustering Coefficient],"&gt;="&amp;R38)</f>
        <v>0</v>
      </c>
      <c r="T33" s="71"/>
      <c r="U33" s="72">
        <f>COUNTIF(Vertices[Clustering Coefficient],"&gt;= "&amp;T33)-COUNTIF(Vertices[Clustering Coefficient],"&gt;="&amp;T38)</f>
        <v>0</v>
      </c>
    </row>
    <row r="34" spans="1:21" ht="15">
      <c r="A34" s="36"/>
      <c r="B34" s="36"/>
      <c r="D34" s="34"/>
      <c r="E34" s="3">
        <f>COUNTIF(Vertices[Degree],"&gt;= "&amp;D34)-COUNTIF(Vertices[Degree],"&gt;="&amp;D35)</f>
        <v>0</v>
      </c>
      <c r="F34" s="71"/>
      <c r="G34" s="72">
        <f>COUNTIF(Vertices[In-Degree],"&gt;= "&amp;F34)-COUNTIF(Vertices[In-Degree],"&gt;="&amp;F35)</f>
        <v>0</v>
      </c>
      <c r="H34" s="71"/>
      <c r="I34" s="72">
        <f>COUNTIF(Vertices[Out-Degree],"&gt;= "&amp;H34)-COUNTIF(Vertices[Out-Degree],"&gt;="&amp;H35)</f>
        <v>0</v>
      </c>
      <c r="J34" s="71"/>
      <c r="K34" s="72">
        <f>COUNTIF(Vertices[Betweenness Centrality],"&gt;= "&amp;J34)-COUNTIF(Vertices[Betweenness Centrality],"&gt;="&amp;J35)</f>
        <v>0</v>
      </c>
      <c r="L34" s="71"/>
      <c r="M34" s="72">
        <f>COUNTIF(Vertices[Closeness Centrality],"&gt;= "&amp;L34)-COUNTIF(Vertices[Closeness Centrality],"&gt;="&amp;L35)</f>
        <v>0</v>
      </c>
      <c r="N34" s="71"/>
      <c r="O34" s="72">
        <f>COUNTIF(Vertices[Eigenvector Centrality],"&gt;= "&amp;N34)-COUNTIF(Vertices[Eigenvector Centrality],"&gt;="&amp;N35)</f>
        <v>0</v>
      </c>
      <c r="P34" s="71"/>
      <c r="Q34" s="72">
        <f>COUNTIF(Vertices[Eigenvector Centrality],"&gt;= "&amp;P34)-COUNTIF(Vertices[Eigenvector Centrality],"&gt;="&amp;P35)</f>
        <v>0</v>
      </c>
      <c r="R34" s="71"/>
      <c r="S34" s="73">
        <f>COUNTIF(Vertices[Clustering Coefficient],"&gt;= "&amp;R34)-COUNTIF(Vertices[Clustering Coefficient],"&gt;="&amp;R35)</f>
        <v>0</v>
      </c>
      <c r="T34" s="71"/>
      <c r="U34" s="72">
        <f>COUNTIF(Vertices[Clustering Coefficient],"&gt;= "&amp;T34)-COUNTIF(Vertices[Clustering Coefficient],"&gt;="&amp;T35)</f>
        <v>0</v>
      </c>
    </row>
    <row r="35" spans="1:21" ht="15">
      <c r="A35" s="36"/>
      <c r="B35" s="36"/>
      <c r="D35" s="34"/>
      <c r="E35" s="3">
        <f>COUNTIF(Vertices[Degree],"&gt;= "&amp;D35)-COUNTIF(Vertices[Degree],"&gt;="&amp;D36)</f>
        <v>0</v>
      </c>
      <c r="F35" s="71"/>
      <c r="G35" s="72">
        <f>COUNTIF(Vertices[In-Degree],"&gt;= "&amp;F35)-COUNTIF(Vertices[In-Degree],"&gt;="&amp;F36)</f>
        <v>0</v>
      </c>
      <c r="H35" s="71"/>
      <c r="I35" s="72">
        <f>COUNTIF(Vertices[Out-Degree],"&gt;= "&amp;H35)-COUNTIF(Vertices[Out-Degree],"&gt;="&amp;H36)</f>
        <v>0</v>
      </c>
      <c r="J35" s="71"/>
      <c r="K35" s="72">
        <f>COUNTIF(Vertices[Betweenness Centrality],"&gt;= "&amp;J35)-COUNTIF(Vertices[Betweenness Centrality],"&gt;="&amp;J36)</f>
        <v>0</v>
      </c>
      <c r="L35" s="71"/>
      <c r="M35" s="72">
        <f>COUNTIF(Vertices[Closeness Centrality],"&gt;= "&amp;L35)-COUNTIF(Vertices[Closeness Centrality],"&gt;="&amp;L36)</f>
        <v>0</v>
      </c>
      <c r="N35" s="71"/>
      <c r="O35" s="72">
        <f>COUNTIF(Vertices[Eigenvector Centrality],"&gt;= "&amp;N35)-COUNTIF(Vertices[Eigenvector Centrality],"&gt;="&amp;N36)</f>
        <v>0</v>
      </c>
      <c r="P35" s="71"/>
      <c r="Q35" s="72">
        <f>COUNTIF(Vertices[Eigenvector Centrality],"&gt;= "&amp;P35)-COUNTIF(Vertices[Eigenvector Centrality],"&gt;="&amp;P36)</f>
        <v>0</v>
      </c>
      <c r="R35" s="71"/>
      <c r="S35" s="73">
        <f>COUNTIF(Vertices[Clustering Coefficient],"&gt;= "&amp;R35)-COUNTIF(Vertices[Clustering Coefficient],"&gt;="&amp;R36)</f>
        <v>0</v>
      </c>
      <c r="T35" s="71"/>
      <c r="U35" s="72">
        <f>COUNTIF(Vertices[Clustering Coefficient],"&gt;= "&amp;T35)-COUNTIF(Vertices[Clustering Coefficient],"&gt;="&amp;T36)</f>
        <v>0</v>
      </c>
    </row>
    <row r="36" spans="1:21" ht="15">
      <c r="A36" s="36"/>
      <c r="B36" s="36"/>
      <c r="D36" s="34"/>
      <c r="E36" s="3">
        <f>COUNTIF(Vertices[Degree],"&gt;= "&amp;D36)-COUNTIF(Vertices[Degree],"&gt;="&amp;D37)</f>
        <v>0</v>
      </c>
      <c r="F36" s="71"/>
      <c r="G36" s="72">
        <f>COUNTIF(Vertices[In-Degree],"&gt;= "&amp;F36)-COUNTIF(Vertices[In-Degree],"&gt;="&amp;F37)</f>
        <v>0</v>
      </c>
      <c r="H36" s="71"/>
      <c r="I36" s="72">
        <f>COUNTIF(Vertices[Out-Degree],"&gt;= "&amp;H36)-COUNTIF(Vertices[Out-Degree],"&gt;="&amp;H37)</f>
        <v>0</v>
      </c>
      <c r="J36" s="71"/>
      <c r="K36" s="72">
        <f>COUNTIF(Vertices[Betweenness Centrality],"&gt;= "&amp;J36)-COUNTIF(Vertices[Betweenness Centrality],"&gt;="&amp;J37)</f>
        <v>0</v>
      </c>
      <c r="L36" s="71"/>
      <c r="M36" s="72">
        <f>COUNTIF(Vertices[Closeness Centrality],"&gt;= "&amp;L36)-COUNTIF(Vertices[Closeness Centrality],"&gt;="&amp;L37)</f>
        <v>0</v>
      </c>
      <c r="N36" s="71"/>
      <c r="O36" s="72">
        <f>COUNTIF(Vertices[Eigenvector Centrality],"&gt;= "&amp;N36)-COUNTIF(Vertices[Eigenvector Centrality],"&gt;="&amp;N37)</f>
        <v>0</v>
      </c>
      <c r="P36" s="71"/>
      <c r="Q36" s="72">
        <f>COUNTIF(Vertices[Eigenvector Centrality],"&gt;= "&amp;P36)-COUNTIF(Vertices[Eigenvector Centrality],"&gt;="&amp;P37)</f>
        <v>0</v>
      </c>
      <c r="R36" s="71"/>
      <c r="S36" s="73">
        <f>COUNTIF(Vertices[Clustering Coefficient],"&gt;= "&amp;R36)-COUNTIF(Vertices[Clustering Coefficient],"&gt;="&amp;R37)</f>
        <v>0</v>
      </c>
      <c r="T36" s="71"/>
      <c r="U36" s="72">
        <f>COUNTIF(Vertices[Clustering Coefficient],"&gt;= "&amp;T36)-COUNTIF(Vertices[Clustering Coefficient],"&gt;="&amp;T37)</f>
        <v>0</v>
      </c>
    </row>
    <row r="37" spans="1:21" ht="15">
      <c r="A37" s="74"/>
      <c r="B37" s="74"/>
      <c r="D37" s="34"/>
      <c r="E37" s="3">
        <f>COUNTIF(Vertices[Degree],"&gt;= "&amp;D37)-COUNTIF(Vertices[Degree],"&gt;="&amp;D38)</f>
        <v>0</v>
      </c>
      <c r="F37" s="71"/>
      <c r="G37" s="72">
        <f>COUNTIF(Vertices[In-Degree],"&gt;= "&amp;F37)-COUNTIF(Vertices[In-Degree],"&gt;="&amp;F38)</f>
        <v>0</v>
      </c>
      <c r="H37" s="71"/>
      <c r="I37" s="72">
        <f>COUNTIF(Vertices[Out-Degree],"&gt;= "&amp;H37)-COUNTIF(Vertices[Out-Degree],"&gt;="&amp;H38)</f>
        <v>0</v>
      </c>
      <c r="J37" s="71"/>
      <c r="K37" s="72">
        <f>COUNTIF(Vertices[Betweenness Centrality],"&gt;= "&amp;J37)-COUNTIF(Vertices[Betweenness Centrality],"&gt;="&amp;J38)</f>
        <v>0</v>
      </c>
      <c r="L37" s="71"/>
      <c r="M37" s="72">
        <f>COUNTIF(Vertices[Closeness Centrality],"&gt;= "&amp;L37)-COUNTIF(Vertices[Closeness Centrality],"&gt;="&amp;L38)</f>
        <v>0</v>
      </c>
      <c r="N37" s="71"/>
      <c r="O37" s="72">
        <f>COUNTIF(Vertices[Eigenvector Centrality],"&gt;= "&amp;N37)-COUNTIF(Vertices[Eigenvector Centrality],"&gt;="&amp;N38)</f>
        <v>0</v>
      </c>
      <c r="P37" s="71"/>
      <c r="Q37" s="72">
        <f>COUNTIF(Vertices[Eigenvector Centrality],"&gt;= "&amp;P37)-COUNTIF(Vertices[Eigenvector Centrality],"&gt;="&amp;P38)</f>
        <v>0</v>
      </c>
      <c r="R37" s="71"/>
      <c r="S37" s="73">
        <f>COUNTIF(Vertices[Clustering Coefficient],"&gt;= "&amp;R37)-COUNTIF(Vertices[Clustering Coefficient],"&gt;="&amp;R38)</f>
        <v>0</v>
      </c>
      <c r="T37" s="71"/>
      <c r="U37" s="72">
        <f>COUNTIF(Vertices[Clustering Coefficient],"&gt;= "&amp;T37)-COUNTIF(Vertices[Clustering Coefficient],"&gt;="&amp;T38)</f>
        <v>0</v>
      </c>
    </row>
    <row r="38" spans="1:21" ht="15">
      <c r="A38" s="74"/>
      <c r="B38" s="74"/>
      <c r="D38" s="34"/>
      <c r="E38" s="3">
        <f>COUNTIF(Vertices[Degree],"&gt;= "&amp;D38)-COUNTIF(Vertices[Degree],"&gt;="&amp;D40)</f>
        <v>-3</v>
      </c>
      <c r="F38" s="71"/>
      <c r="G38" s="72">
        <f>COUNTIF(Vertices[In-Degree],"&gt;= "&amp;F38)-COUNTIF(Vertices[In-Degree],"&gt;="&amp;F40)</f>
        <v>0</v>
      </c>
      <c r="H38" s="71"/>
      <c r="I38" s="72">
        <f>COUNTIF(Vertices[Out-Degree],"&gt;= "&amp;H38)-COUNTIF(Vertices[Out-Degree],"&gt;="&amp;H40)</f>
        <v>0</v>
      </c>
      <c r="J38" s="71"/>
      <c r="K38" s="72">
        <f>COUNTIF(Vertices[Betweenness Centrality],"&gt;= "&amp;J38)-COUNTIF(Vertices[Betweenness Centrality],"&gt;="&amp;J40)</f>
        <v>0</v>
      </c>
      <c r="L38" s="71"/>
      <c r="M38" s="72">
        <f>COUNTIF(Vertices[Closeness Centrality],"&gt;= "&amp;L38)-COUNTIF(Vertices[Closeness Centrality],"&gt;="&amp;L40)</f>
        <v>0</v>
      </c>
      <c r="N38" s="71"/>
      <c r="O38" s="72">
        <f>COUNTIF(Vertices[Eigenvector Centrality],"&gt;= "&amp;N38)-COUNTIF(Vertices[Eigenvector Centrality],"&gt;="&amp;N40)</f>
        <v>0</v>
      </c>
      <c r="P38" s="71"/>
      <c r="Q38" s="72">
        <f>COUNTIF(Vertices[Eigenvector Centrality],"&gt;= "&amp;P38)-COUNTIF(Vertices[Eigenvector Centrality],"&gt;="&amp;P40)</f>
        <v>0</v>
      </c>
      <c r="R38" s="71"/>
      <c r="S38" s="73">
        <f>COUNTIF(Vertices[Clustering Coefficient],"&gt;= "&amp;R38)-COUNTIF(Vertices[Clustering Coefficient],"&gt;="&amp;R40)</f>
        <v>0</v>
      </c>
      <c r="T38" s="71"/>
      <c r="U38" s="72">
        <f ca="1">COUNTIF(Vertices[Clustering Coefficient],"&gt;= "&amp;T38)-COUNTIF(Vertices[Clustering Coefficient],"&gt;="&amp;T40)</f>
        <v>0</v>
      </c>
    </row>
    <row r="39" spans="1:21" ht="15">
      <c r="A39" s="74"/>
      <c r="B39" s="74"/>
      <c r="D39" s="34"/>
      <c r="E39" s="3">
        <f>COUNTIF(Vertices[Degree],"&gt;= "&amp;D39)-COUNTIF(Vertices[Degree],"&gt;="&amp;D40)</f>
        <v>-3</v>
      </c>
      <c r="F39" s="71"/>
      <c r="G39" s="72">
        <f>COUNTIF(Vertices[In-Degree],"&gt;= "&amp;F39)-COUNTIF(Vertices[In-Degree],"&gt;="&amp;F40)</f>
        <v>0</v>
      </c>
      <c r="H39" s="71"/>
      <c r="I39" s="72">
        <f>COUNTIF(Vertices[Out-Degree],"&gt;= "&amp;H39)-COUNTIF(Vertices[Out-Degree],"&gt;="&amp;H40)</f>
        <v>0</v>
      </c>
      <c r="J39" s="71"/>
      <c r="K39" s="72">
        <f>COUNTIF(Vertices[Betweenness Centrality],"&gt;= "&amp;J39)-COUNTIF(Vertices[Betweenness Centrality],"&gt;="&amp;J40)</f>
        <v>0</v>
      </c>
      <c r="L39" s="71"/>
      <c r="M39" s="72">
        <f>COUNTIF(Vertices[Closeness Centrality],"&gt;= "&amp;L39)-COUNTIF(Vertices[Closeness Centrality],"&gt;="&amp;L40)</f>
        <v>0</v>
      </c>
      <c r="N39" s="71"/>
      <c r="O39" s="72">
        <f>COUNTIF(Vertices[Eigenvector Centrality],"&gt;= "&amp;N39)-COUNTIF(Vertices[Eigenvector Centrality],"&gt;="&amp;N40)</f>
        <v>0</v>
      </c>
      <c r="P39" s="71"/>
      <c r="Q39" s="72">
        <f>COUNTIF(Vertices[Eigenvector Centrality],"&gt;= "&amp;P39)-COUNTIF(Vertices[Eigenvector Centrality],"&gt;="&amp;P40)</f>
        <v>0</v>
      </c>
      <c r="R39" s="71"/>
      <c r="S39" s="73">
        <f>COUNTIF(Vertices[Clustering Coefficient],"&gt;= "&amp;R39)-COUNTIF(Vertices[Clustering Coefficient],"&gt;="&amp;R40)</f>
        <v>0</v>
      </c>
      <c r="T39" s="71"/>
      <c r="U39" s="72">
        <f ca="1">COUNTIF(Vertices[Clustering Coefficient],"&gt;= "&amp;T39)-COUNTIF(Vertices[Clustering Coefficient],"&gt;="&amp;T40)</f>
        <v>0</v>
      </c>
    </row>
    <row r="40" spans="4:21" ht="15">
      <c r="D40" s="34">
        <f>D28+($D$57-$D$2)/BinDivisor</f>
        <v>3.3636363636363615</v>
      </c>
      <c r="E40" s="3">
        <f>COUNTIF(Vertices[Degree],"&gt;= "&amp;D40)-COUNTIF(Vertices[Degree],"&gt;="&amp;D41)</f>
        <v>0</v>
      </c>
      <c r="F40" s="39">
        <f>F28+($F$57-$F$2)/BinDivisor</f>
        <v>0</v>
      </c>
      <c r="G40" s="40">
        <f>COUNTIF(Vertices[In-Degree],"&gt;= "&amp;F40)-COUNTIF(Vertices[In-Degree],"&gt;="&amp;F41)</f>
        <v>0</v>
      </c>
      <c r="H40" s="39">
        <f>H28+($H$57-$H$2)/BinDivisor</f>
        <v>0</v>
      </c>
      <c r="I40" s="40">
        <f>COUNTIF(Vertices[Out-Degree],"&gt;= "&amp;H40)-COUNTIF(Vertices[Out-Degree],"&gt;="&amp;H41)</f>
        <v>0</v>
      </c>
      <c r="J40" s="39">
        <f>J28+($J$57-$J$2)/BinDivisor</f>
        <v>0</v>
      </c>
      <c r="K40" s="40">
        <f>COUNTIF(Vertices[Betweenness Centrality],"&gt;= "&amp;J40)-COUNTIF(Vertices[Betweenness Centrality],"&gt;="&amp;J41)</f>
        <v>0</v>
      </c>
      <c r="L40" s="39">
        <f>L28+($L$57-$L$2)/BinDivisor</f>
        <v>0</v>
      </c>
      <c r="M40" s="40">
        <f>COUNTIF(Vertices[Closeness Centrality],"&gt;= "&amp;L40)-COUNTIF(Vertices[Closeness Centrality],"&gt;="&amp;L41)</f>
        <v>0</v>
      </c>
      <c r="N40" s="39">
        <f>N28+($N$57-$N$2)/BinDivisor</f>
        <v>0</v>
      </c>
      <c r="O40" s="40">
        <f>COUNTIF(Vertices[Eigenvector Centrality],"&gt;= "&amp;N40)-COUNTIF(Vertices[Eigenvector Centrality],"&gt;="&amp;N41)</f>
        <v>0</v>
      </c>
      <c r="P40" s="39">
        <f>P28+($P$57-$P$2)/BinDivisor</f>
        <v>0</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3.4545454545454524</v>
      </c>
      <c r="E41" s="3">
        <f>COUNTIF(Vertices[Degree],"&gt;= "&amp;D41)-COUNTIF(Vertices[Degree],"&gt;="&amp;D42)</f>
        <v>0</v>
      </c>
      <c r="F41" s="41">
        <f aca="true" t="shared" si="11" ref="F41:F56">F40+($F$57-$F$2)/BinDivisor</f>
        <v>0</v>
      </c>
      <c r="G41" s="42">
        <f>COUNTIF(Vertices[In-Degree],"&gt;= "&amp;F41)-COUNTIF(Vertices[In-Degree],"&gt;="&amp;F42)</f>
        <v>0</v>
      </c>
      <c r="H41" s="41">
        <f aca="true" t="shared" si="12" ref="H41:H56">H40+($H$57-$H$2)/BinDivisor</f>
        <v>0</v>
      </c>
      <c r="I41" s="42">
        <f>COUNTIF(Vertices[Out-Degree],"&gt;= "&amp;H41)-COUNTIF(Vertices[Out-Degree],"&gt;="&amp;H42)</f>
        <v>0</v>
      </c>
      <c r="J41" s="41">
        <f aca="true" t="shared" si="13" ref="J41:J56">J40+($J$57-$J$2)/BinDivisor</f>
        <v>0</v>
      </c>
      <c r="K41" s="42">
        <f>COUNTIF(Vertices[Betweenness Centrality],"&gt;= "&amp;J41)-COUNTIF(Vertices[Betweenness Centrality],"&gt;="&amp;J42)</f>
        <v>0</v>
      </c>
      <c r="L41" s="41">
        <f aca="true" t="shared" si="14" ref="L41:L56">L40+($L$57-$L$2)/BinDivisor</f>
        <v>0</v>
      </c>
      <c r="M41" s="42">
        <f>COUNTIF(Vertices[Closeness Centrality],"&gt;= "&amp;L41)-COUNTIF(Vertices[Closeness Centrality],"&gt;="&amp;L42)</f>
        <v>0</v>
      </c>
      <c r="N41" s="41">
        <f aca="true" t="shared" si="15" ref="N41:N56">N40+($N$57-$N$2)/BinDivisor</f>
        <v>0</v>
      </c>
      <c r="O41" s="42">
        <f>COUNTIF(Vertices[Eigenvector Centrality],"&gt;= "&amp;N41)-COUNTIF(Vertices[Eigenvector Centrality],"&gt;="&amp;N42)</f>
        <v>0</v>
      </c>
      <c r="P41" s="41">
        <f aca="true" t="shared" si="16" ref="P41:P56">P40+($P$57-$P$2)/BinDivisor</f>
        <v>0</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3.545454545454543</v>
      </c>
      <c r="E42" s="3">
        <f>COUNTIF(Vertices[Degree],"&gt;= "&amp;D42)-COUNTIF(Vertices[Degree],"&gt;="&amp;D43)</f>
        <v>0</v>
      </c>
      <c r="F42" s="39">
        <f t="shared" si="11"/>
        <v>0</v>
      </c>
      <c r="G42" s="40">
        <f>COUNTIF(Vertices[In-Degree],"&gt;= "&amp;F42)-COUNTIF(Vertices[In-Degree],"&gt;="&amp;F43)</f>
        <v>0</v>
      </c>
      <c r="H42" s="39">
        <f t="shared" si="12"/>
        <v>0</v>
      </c>
      <c r="I42" s="40">
        <f>COUNTIF(Vertices[Out-Degree],"&gt;= "&amp;H42)-COUNTIF(Vertices[Out-Degree],"&gt;="&amp;H43)</f>
        <v>0</v>
      </c>
      <c r="J42" s="39">
        <f t="shared" si="13"/>
        <v>0</v>
      </c>
      <c r="K42" s="40">
        <f>COUNTIF(Vertices[Betweenness Centrality],"&gt;= "&amp;J42)-COUNTIF(Vertices[Betweenness Centrality],"&gt;="&amp;J43)</f>
        <v>0</v>
      </c>
      <c r="L42" s="39">
        <f t="shared" si="14"/>
        <v>0</v>
      </c>
      <c r="M42" s="40">
        <f>COUNTIF(Vertices[Closeness Centrality],"&gt;= "&amp;L42)-COUNTIF(Vertices[Closeness Centrality],"&gt;="&amp;L43)</f>
        <v>0</v>
      </c>
      <c r="N42" s="39">
        <f t="shared" si="15"/>
        <v>0</v>
      </c>
      <c r="O42" s="40">
        <f>COUNTIF(Vertices[Eigenvector Centrality],"&gt;= "&amp;N42)-COUNTIF(Vertices[Eigenvector Centrality],"&gt;="&amp;N43)</f>
        <v>0</v>
      </c>
      <c r="P42" s="39">
        <f t="shared" si="16"/>
        <v>0</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3.636363636363634</v>
      </c>
      <c r="E43" s="3">
        <f>COUNTIF(Vertices[Degree],"&gt;= "&amp;D43)-COUNTIF(Vertices[Degree],"&gt;="&amp;D44)</f>
        <v>0</v>
      </c>
      <c r="F43" s="41">
        <f t="shared" si="11"/>
        <v>0</v>
      </c>
      <c r="G43" s="42">
        <f>COUNTIF(Vertices[In-Degree],"&gt;= "&amp;F43)-COUNTIF(Vertices[In-Degree],"&gt;="&amp;F44)</f>
        <v>0</v>
      </c>
      <c r="H43" s="41">
        <f t="shared" si="12"/>
        <v>0</v>
      </c>
      <c r="I43" s="42">
        <f>COUNTIF(Vertices[Out-Degree],"&gt;= "&amp;H43)-COUNTIF(Vertices[Out-Degree],"&gt;="&amp;H44)</f>
        <v>0</v>
      </c>
      <c r="J43" s="41">
        <f t="shared" si="13"/>
        <v>0</v>
      </c>
      <c r="K43" s="42">
        <f>COUNTIF(Vertices[Betweenness Centrality],"&gt;= "&amp;J43)-COUNTIF(Vertices[Betweenness Centrality],"&gt;="&amp;J44)</f>
        <v>0</v>
      </c>
      <c r="L43" s="41">
        <f t="shared" si="14"/>
        <v>0</v>
      </c>
      <c r="M43" s="42">
        <f>COUNTIF(Vertices[Closeness Centrality],"&gt;= "&amp;L43)-COUNTIF(Vertices[Closeness Centrality],"&gt;="&amp;L44)</f>
        <v>0</v>
      </c>
      <c r="N43" s="41">
        <f t="shared" si="15"/>
        <v>0</v>
      </c>
      <c r="O43" s="42">
        <f>COUNTIF(Vertices[Eigenvector Centrality],"&gt;= "&amp;N43)-COUNTIF(Vertices[Eigenvector Centrality],"&gt;="&amp;N44)</f>
        <v>0</v>
      </c>
      <c r="P43" s="41">
        <f t="shared" si="16"/>
        <v>0</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3.727272727272725</v>
      </c>
      <c r="E44" s="3">
        <f>COUNTIF(Vertices[Degree],"&gt;= "&amp;D44)-COUNTIF(Vertices[Degree],"&gt;="&amp;D45)</f>
        <v>0</v>
      </c>
      <c r="F44" s="39">
        <f t="shared" si="11"/>
        <v>0</v>
      </c>
      <c r="G44" s="40">
        <f>COUNTIF(Vertices[In-Degree],"&gt;= "&amp;F44)-COUNTIF(Vertices[In-Degree],"&gt;="&amp;F45)</f>
        <v>0</v>
      </c>
      <c r="H44" s="39">
        <f t="shared" si="12"/>
        <v>0</v>
      </c>
      <c r="I44" s="40">
        <f>COUNTIF(Vertices[Out-Degree],"&gt;= "&amp;H44)-COUNTIF(Vertices[Out-Degree],"&gt;="&amp;H45)</f>
        <v>0</v>
      </c>
      <c r="J44" s="39">
        <f t="shared" si="13"/>
        <v>0</v>
      </c>
      <c r="K44" s="40">
        <f>COUNTIF(Vertices[Betweenness Centrality],"&gt;= "&amp;J44)-COUNTIF(Vertices[Betweenness Centrality],"&gt;="&amp;J45)</f>
        <v>0</v>
      </c>
      <c r="L44" s="39">
        <f t="shared" si="14"/>
        <v>0</v>
      </c>
      <c r="M44" s="40">
        <f>COUNTIF(Vertices[Closeness Centrality],"&gt;= "&amp;L44)-COUNTIF(Vertices[Closeness Centrality],"&gt;="&amp;L45)</f>
        <v>0</v>
      </c>
      <c r="N44" s="39">
        <f t="shared" si="15"/>
        <v>0</v>
      </c>
      <c r="O44" s="40">
        <f>COUNTIF(Vertices[Eigenvector Centrality],"&gt;= "&amp;N44)-COUNTIF(Vertices[Eigenvector Centrality],"&gt;="&amp;N45)</f>
        <v>0</v>
      </c>
      <c r="P44" s="39">
        <f t="shared" si="16"/>
        <v>0</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3.8181818181818157</v>
      </c>
      <c r="E45" s="3">
        <f>COUNTIF(Vertices[Degree],"&gt;= "&amp;D45)-COUNTIF(Vertices[Degree],"&gt;="&amp;D46)</f>
        <v>0</v>
      </c>
      <c r="F45" s="41">
        <f t="shared" si="11"/>
        <v>0</v>
      </c>
      <c r="G45" s="42">
        <f>COUNTIF(Vertices[In-Degree],"&gt;= "&amp;F45)-COUNTIF(Vertices[In-Degree],"&gt;="&amp;F46)</f>
        <v>0</v>
      </c>
      <c r="H45" s="41">
        <f t="shared" si="12"/>
        <v>0</v>
      </c>
      <c r="I45" s="42">
        <f>COUNTIF(Vertices[Out-Degree],"&gt;= "&amp;H45)-COUNTIF(Vertices[Out-Degree],"&gt;="&amp;H46)</f>
        <v>0</v>
      </c>
      <c r="J45" s="41">
        <f t="shared" si="13"/>
        <v>0</v>
      </c>
      <c r="K45" s="42">
        <f>COUNTIF(Vertices[Betweenness Centrality],"&gt;= "&amp;J45)-COUNTIF(Vertices[Betweenness Centrality],"&gt;="&amp;J46)</f>
        <v>0</v>
      </c>
      <c r="L45" s="41">
        <f t="shared" si="14"/>
        <v>0</v>
      </c>
      <c r="M45" s="42">
        <f>COUNTIF(Vertices[Closeness Centrality],"&gt;= "&amp;L45)-COUNTIF(Vertices[Closeness Centrality],"&gt;="&amp;L46)</f>
        <v>0</v>
      </c>
      <c r="N45" s="41">
        <f t="shared" si="15"/>
        <v>0</v>
      </c>
      <c r="O45" s="42">
        <f>COUNTIF(Vertices[Eigenvector Centrality],"&gt;= "&amp;N45)-COUNTIF(Vertices[Eigenvector Centrality],"&gt;="&amp;N46)</f>
        <v>0</v>
      </c>
      <c r="P45" s="41">
        <f t="shared" si="16"/>
        <v>0</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3.9090909090909065</v>
      </c>
      <c r="E46" s="3">
        <f>COUNTIF(Vertices[Degree],"&gt;= "&amp;D46)-COUNTIF(Vertices[Degree],"&gt;="&amp;D47)</f>
        <v>0</v>
      </c>
      <c r="F46" s="39">
        <f t="shared" si="11"/>
        <v>0</v>
      </c>
      <c r="G46" s="40">
        <f>COUNTIF(Vertices[In-Degree],"&gt;= "&amp;F46)-COUNTIF(Vertices[In-Degree],"&gt;="&amp;F47)</f>
        <v>0</v>
      </c>
      <c r="H46" s="39">
        <f t="shared" si="12"/>
        <v>0</v>
      </c>
      <c r="I46" s="40">
        <f>COUNTIF(Vertices[Out-Degree],"&gt;= "&amp;H46)-COUNTIF(Vertices[Out-Degree],"&gt;="&amp;H47)</f>
        <v>0</v>
      </c>
      <c r="J46" s="39">
        <f t="shared" si="13"/>
        <v>0</v>
      </c>
      <c r="K46" s="40">
        <f>COUNTIF(Vertices[Betweenness Centrality],"&gt;= "&amp;J46)-COUNTIF(Vertices[Betweenness Centrality],"&gt;="&amp;J47)</f>
        <v>0</v>
      </c>
      <c r="L46" s="39">
        <f t="shared" si="14"/>
        <v>0</v>
      </c>
      <c r="M46" s="40">
        <f>COUNTIF(Vertices[Closeness Centrality],"&gt;= "&amp;L46)-COUNTIF(Vertices[Closeness Centrality],"&gt;="&amp;L47)</f>
        <v>0</v>
      </c>
      <c r="N46" s="39">
        <f t="shared" si="15"/>
        <v>0</v>
      </c>
      <c r="O46" s="40">
        <f>COUNTIF(Vertices[Eigenvector Centrality],"&gt;= "&amp;N46)-COUNTIF(Vertices[Eigenvector Centrality],"&gt;="&amp;N47)</f>
        <v>0</v>
      </c>
      <c r="P46" s="39">
        <f t="shared" si="16"/>
        <v>0</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3.9999999999999973</v>
      </c>
      <c r="E47" s="3">
        <f>COUNTIF(Vertices[Degree],"&gt;= "&amp;D47)-COUNTIF(Vertices[Degree],"&gt;="&amp;D48)</f>
        <v>1</v>
      </c>
      <c r="F47" s="41">
        <f t="shared" si="11"/>
        <v>0</v>
      </c>
      <c r="G47" s="42">
        <f>COUNTIF(Vertices[In-Degree],"&gt;= "&amp;F47)-COUNTIF(Vertices[In-Degree],"&gt;="&amp;F48)</f>
        <v>0</v>
      </c>
      <c r="H47" s="41">
        <f t="shared" si="12"/>
        <v>0</v>
      </c>
      <c r="I47" s="42">
        <f>COUNTIF(Vertices[Out-Degree],"&gt;= "&amp;H47)-COUNTIF(Vertices[Out-Degree],"&gt;="&amp;H48)</f>
        <v>0</v>
      </c>
      <c r="J47" s="41">
        <f t="shared" si="13"/>
        <v>0</v>
      </c>
      <c r="K47" s="42">
        <f>COUNTIF(Vertices[Betweenness Centrality],"&gt;= "&amp;J47)-COUNTIF(Vertices[Betweenness Centrality],"&gt;="&amp;J48)</f>
        <v>0</v>
      </c>
      <c r="L47" s="41">
        <f t="shared" si="14"/>
        <v>0</v>
      </c>
      <c r="M47" s="42">
        <f>COUNTIF(Vertices[Closeness Centrality],"&gt;= "&amp;L47)-COUNTIF(Vertices[Closeness Centrality],"&gt;="&amp;L48)</f>
        <v>0</v>
      </c>
      <c r="N47" s="41">
        <f t="shared" si="15"/>
        <v>0</v>
      </c>
      <c r="O47" s="42">
        <f>COUNTIF(Vertices[Eigenvector Centrality],"&gt;= "&amp;N47)-COUNTIF(Vertices[Eigenvector Centrality],"&gt;="&amp;N48)</f>
        <v>0</v>
      </c>
      <c r="P47" s="41">
        <f t="shared" si="16"/>
        <v>0</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4.090909090909088</v>
      </c>
      <c r="E48" s="3">
        <f>COUNTIF(Vertices[Degree],"&gt;= "&amp;D48)-COUNTIF(Vertices[Degree],"&gt;="&amp;D49)</f>
        <v>0</v>
      </c>
      <c r="F48" s="39">
        <f t="shared" si="11"/>
        <v>0</v>
      </c>
      <c r="G48" s="40">
        <f>COUNTIF(Vertices[In-Degree],"&gt;= "&amp;F48)-COUNTIF(Vertices[In-Degree],"&gt;="&amp;F49)</f>
        <v>0</v>
      </c>
      <c r="H48" s="39">
        <f t="shared" si="12"/>
        <v>0</v>
      </c>
      <c r="I48" s="40">
        <f>COUNTIF(Vertices[Out-Degree],"&gt;= "&amp;H48)-COUNTIF(Vertices[Out-Degree],"&gt;="&amp;H49)</f>
        <v>0</v>
      </c>
      <c r="J48" s="39">
        <f t="shared" si="13"/>
        <v>0</v>
      </c>
      <c r="K48" s="40">
        <f>COUNTIF(Vertices[Betweenness Centrality],"&gt;= "&amp;J48)-COUNTIF(Vertices[Betweenness Centrality],"&gt;="&amp;J49)</f>
        <v>0</v>
      </c>
      <c r="L48" s="39">
        <f t="shared" si="14"/>
        <v>0</v>
      </c>
      <c r="M48" s="40">
        <f>COUNTIF(Vertices[Closeness Centrality],"&gt;= "&amp;L48)-COUNTIF(Vertices[Closeness Centrality],"&gt;="&amp;L49)</f>
        <v>0</v>
      </c>
      <c r="N48" s="39">
        <f t="shared" si="15"/>
        <v>0</v>
      </c>
      <c r="O48" s="40">
        <f>COUNTIF(Vertices[Eigenvector Centrality],"&gt;= "&amp;N48)-COUNTIF(Vertices[Eigenvector Centrality],"&gt;="&amp;N49)</f>
        <v>0</v>
      </c>
      <c r="P48" s="39">
        <f t="shared" si="16"/>
        <v>0</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4.181818181818179</v>
      </c>
      <c r="E49" s="3">
        <f>COUNTIF(Vertices[Degree],"&gt;= "&amp;D49)-COUNTIF(Vertices[Degree],"&gt;="&amp;D50)</f>
        <v>0</v>
      </c>
      <c r="F49" s="41">
        <f t="shared" si="11"/>
        <v>0</v>
      </c>
      <c r="G49" s="42">
        <f>COUNTIF(Vertices[In-Degree],"&gt;= "&amp;F49)-COUNTIF(Vertices[In-Degree],"&gt;="&amp;F50)</f>
        <v>0</v>
      </c>
      <c r="H49" s="41">
        <f t="shared" si="12"/>
        <v>0</v>
      </c>
      <c r="I49" s="42">
        <f>COUNTIF(Vertices[Out-Degree],"&gt;= "&amp;H49)-COUNTIF(Vertices[Out-Degree],"&gt;="&amp;H50)</f>
        <v>0</v>
      </c>
      <c r="J49" s="41">
        <f t="shared" si="13"/>
        <v>0</v>
      </c>
      <c r="K49" s="42">
        <f>COUNTIF(Vertices[Betweenness Centrality],"&gt;= "&amp;J49)-COUNTIF(Vertices[Betweenness Centrality],"&gt;="&amp;J50)</f>
        <v>0</v>
      </c>
      <c r="L49" s="41">
        <f t="shared" si="14"/>
        <v>0</v>
      </c>
      <c r="M49" s="42">
        <f>COUNTIF(Vertices[Closeness Centrality],"&gt;= "&amp;L49)-COUNTIF(Vertices[Closeness Centrality],"&gt;="&amp;L50)</f>
        <v>0</v>
      </c>
      <c r="N49" s="41">
        <f t="shared" si="15"/>
        <v>0</v>
      </c>
      <c r="O49" s="42">
        <f>COUNTIF(Vertices[Eigenvector Centrality],"&gt;= "&amp;N49)-COUNTIF(Vertices[Eigenvector Centrality],"&gt;="&amp;N50)</f>
        <v>0</v>
      </c>
      <c r="P49" s="41">
        <f t="shared" si="16"/>
        <v>0</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4.27272727272727</v>
      </c>
      <c r="E50" s="3">
        <f>COUNTIF(Vertices[Degree],"&gt;= "&amp;D50)-COUNTIF(Vertices[Degree],"&gt;="&amp;D51)</f>
        <v>0</v>
      </c>
      <c r="F50" s="39">
        <f t="shared" si="11"/>
        <v>0</v>
      </c>
      <c r="G50" s="40">
        <f>COUNTIF(Vertices[In-Degree],"&gt;= "&amp;F50)-COUNTIF(Vertices[In-Degree],"&gt;="&amp;F51)</f>
        <v>0</v>
      </c>
      <c r="H50" s="39">
        <f t="shared" si="12"/>
        <v>0</v>
      </c>
      <c r="I50" s="40">
        <f>COUNTIF(Vertices[Out-Degree],"&gt;= "&amp;H50)-COUNTIF(Vertices[Out-Degree],"&gt;="&amp;H51)</f>
        <v>0</v>
      </c>
      <c r="J50" s="39">
        <f t="shared" si="13"/>
        <v>0</v>
      </c>
      <c r="K50" s="40">
        <f>COUNTIF(Vertices[Betweenness Centrality],"&gt;= "&amp;J50)-COUNTIF(Vertices[Betweenness Centrality],"&gt;="&amp;J51)</f>
        <v>0</v>
      </c>
      <c r="L50" s="39">
        <f t="shared" si="14"/>
        <v>0</v>
      </c>
      <c r="M50" s="40">
        <f>COUNTIF(Vertices[Closeness Centrality],"&gt;= "&amp;L50)-COUNTIF(Vertices[Closeness Centrality],"&gt;="&amp;L51)</f>
        <v>0</v>
      </c>
      <c r="N50" s="39">
        <f t="shared" si="15"/>
        <v>0</v>
      </c>
      <c r="O50" s="40">
        <f>COUNTIF(Vertices[Eigenvector Centrality],"&gt;= "&amp;N50)-COUNTIF(Vertices[Eigenvector Centrality],"&gt;="&amp;N51)</f>
        <v>0</v>
      </c>
      <c r="P50" s="39">
        <f t="shared" si="16"/>
        <v>0</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4.363636363636361</v>
      </c>
      <c r="E51" s="3">
        <f>COUNTIF(Vertices[Degree],"&gt;= "&amp;D51)-COUNTIF(Vertices[Degree],"&gt;="&amp;D52)</f>
        <v>0</v>
      </c>
      <c r="F51" s="41">
        <f t="shared" si="11"/>
        <v>0</v>
      </c>
      <c r="G51" s="42">
        <f>COUNTIF(Vertices[In-Degree],"&gt;= "&amp;F51)-COUNTIF(Vertices[In-Degree],"&gt;="&amp;F52)</f>
        <v>0</v>
      </c>
      <c r="H51" s="41">
        <f t="shared" si="12"/>
        <v>0</v>
      </c>
      <c r="I51" s="42">
        <f>COUNTIF(Vertices[Out-Degree],"&gt;= "&amp;H51)-COUNTIF(Vertices[Out-Degree],"&gt;="&amp;H52)</f>
        <v>0</v>
      </c>
      <c r="J51" s="41">
        <f t="shared" si="13"/>
        <v>0</v>
      </c>
      <c r="K51" s="42">
        <f>COUNTIF(Vertices[Betweenness Centrality],"&gt;= "&amp;J51)-COUNTIF(Vertices[Betweenness Centrality],"&gt;="&amp;J52)</f>
        <v>0</v>
      </c>
      <c r="L51" s="41">
        <f t="shared" si="14"/>
        <v>0</v>
      </c>
      <c r="M51" s="42">
        <f>COUNTIF(Vertices[Closeness Centrality],"&gt;= "&amp;L51)-COUNTIF(Vertices[Closeness Centrality],"&gt;="&amp;L52)</f>
        <v>0</v>
      </c>
      <c r="N51" s="41">
        <f t="shared" si="15"/>
        <v>0</v>
      </c>
      <c r="O51" s="42">
        <f>COUNTIF(Vertices[Eigenvector Centrality],"&gt;= "&amp;N51)-COUNTIF(Vertices[Eigenvector Centrality],"&gt;="&amp;N52)</f>
        <v>0</v>
      </c>
      <c r="P51" s="41">
        <f t="shared" si="16"/>
        <v>0</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4.4545454545454515</v>
      </c>
      <c r="E52" s="3">
        <f>COUNTIF(Vertices[Degree],"&gt;= "&amp;D52)-COUNTIF(Vertices[Degree],"&gt;="&amp;D53)</f>
        <v>0</v>
      </c>
      <c r="F52" s="39">
        <f t="shared" si="11"/>
        <v>0</v>
      </c>
      <c r="G52" s="40">
        <f>COUNTIF(Vertices[In-Degree],"&gt;= "&amp;F52)-COUNTIF(Vertices[In-Degree],"&gt;="&amp;F53)</f>
        <v>0</v>
      </c>
      <c r="H52" s="39">
        <f t="shared" si="12"/>
        <v>0</v>
      </c>
      <c r="I52" s="40">
        <f>COUNTIF(Vertices[Out-Degree],"&gt;= "&amp;H52)-COUNTIF(Vertices[Out-Degree],"&gt;="&amp;H53)</f>
        <v>0</v>
      </c>
      <c r="J52" s="39">
        <f t="shared" si="13"/>
        <v>0</v>
      </c>
      <c r="K52" s="40">
        <f>COUNTIF(Vertices[Betweenness Centrality],"&gt;= "&amp;J52)-COUNTIF(Vertices[Betweenness Centrality],"&gt;="&amp;J53)</f>
        <v>0</v>
      </c>
      <c r="L52" s="39">
        <f t="shared" si="14"/>
        <v>0</v>
      </c>
      <c r="M52" s="40">
        <f>COUNTIF(Vertices[Closeness Centrality],"&gt;= "&amp;L52)-COUNTIF(Vertices[Closeness Centrality],"&gt;="&amp;L53)</f>
        <v>0</v>
      </c>
      <c r="N52" s="39">
        <f t="shared" si="15"/>
        <v>0</v>
      </c>
      <c r="O52" s="40">
        <f>COUNTIF(Vertices[Eigenvector Centrality],"&gt;= "&amp;N52)-COUNTIF(Vertices[Eigenvector Centrality],"&gt;="&amp;N53)</f>
        <v>0</v>
      </c>
      <c r="P52" s="39">
        <f t="shared" si="16"/>
        <v>0</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4.545454545454542</v>
      </c>
      <c r="E53" s="3">
        <f>COUNTIF(Vertices[Degree],"&gt;= "&amp;D53)-COUNTIF(Vertices[Degree],"&gt;="&amp;D54)</f>
        <v>0</v>
      </c>
      <c r="F53" s="41">
        <f t="shared" si="11"/>
        <v>0</v>
      </c>
      <c r="G53" s="42">
        <f>COUNTIF(Vertices[In-Degree],"&gt;= "&amp;F53)-COUNTIF(Vertices[In-Degree],"&gt;="&amp;F54)</f>
        <v>0</v>
      </c>
      <c r="H53" s="41">
        <f t="shared" si="12"/>
        <v>0</v>
      </c>
      <c r="I53" s="42">
        <f>COUNTIF(Vertices[Out-Degree],"&gt;= "&amp;H53)-COUNTIF(Vertices[Out-Degree],"&gt;="&amp;H54)</f>
        <v>0</v>
      </c>
      <c r="J53" s="41">
        <f t="shared" si="13"/>
        <v>0</v>
      </c>
      <c r="K53" s="42">
        <f>COUNTIF(Vertices[Betweenness Centrality],"&gt;= "&amp;J53)-COUNTIF(Vertices[Betweenness Centrality],"&gt;="&amp;J54)</f>
        <v>0</v>
      </c>
      <c r="L53" s="41">
        <f t="shared" si="14"/>
        <v>0</v>
      </c>
      <c r="M53" s="42">
        <f>COUNTIF(Vertices[Closeness Centrality],"&gt;= "&amp;L53)-COUNTIF(Vertices[Closeness Centrality],"&gt;="&amp;L54)</f>
        <v>0</v>
      </c>
      <c r="N53" s="41">
        <f t="shared" si="15"/>
        <v>0</v>
      </c>
      <c r="O53" s="42">
        <f>COUNTIF(Vertices[Eigenvector Centrality],"&gt;= "&amp;N53)-COUNTIF(Vertices[Eigenvector Centrality],"&gt;="&amp;N54)</f>
        <v>0</v>
      </c>
      <c r="P53" s="41">
        <f t="shared" si="16"/>
        <v>0</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4.636363636363633</v>
      </c>
      <c r="E54" s="3">
        <f>COUNTIF(Vertices[Degree],"&gt;= "&amp;D54)-COUNTIF(Vertices[Degree],"&gt;="&amp;D55)</f>
        <v>0</v>
      </c>
      <c r="F54" s="39">
        <f t="shared" si="11"/>
        <v>0</v>
      </c>
      <c r="G54" s="40">
        <f>COUNTIF(Vertices[In-Degree],"&gt;= "&amp;F54)-COUNTIF(Vertices[In-Degree],"&gt;="&amp;F55)</f>
        <v>0</v>
      </c>
      <c r="H54" s="39">
        <f t="shared" si="12"/>
        <v>0</v>
      </c>
      <c r="I54" s="40">
        <f>COUNTIF(Vertices[Out-Degree],"&gt;= "&amp;H54)-COUNTIF(Vertices[Out-Degree],"&gt;="&amp;H55)</f>
        <v>0</v>
      </c>
      <c r="J54" s="39">
        <f t="shared" si="13"/>
        <v>0</v>
      </c>
      <c r="K54" s="40">
        <f>COUNTIF(Vertices[Betweenness Centrality],"&gt;= "&amp;J54)-COUNTIF(Vertices[Betweenness Centrality],"&gt;="&amp;J55)</f>
        <v>0</v>
      </c>
      <c r="L54" s="39">
        <f t="shared" si="14"/>
        <v>0</v>
      </c>
      <c r="M54" s="40">
        <f>COUNTIF(Vertices[Closeness Centrality],"&gt;= "&amp;L54)-COUNTIF(Vertices[Closeness Centrality],"&gt;="&amp;L55)</f>
        <v>0</v>
      </c>
      <c r="N54" s="39">
        <f t="shared" si="15"/>
        <v>0</v>
      </c>
      <c r="O54" s="40">
        <f>COUNTIF(Vertices[Eigenvector Centrality],"&gt;= "&amp;N54)-COUNTIF(Vertices[Eigenvector Centrality],"&gt;="&amp;N55)</f>
        <v>0</v>
      </c>
      <c r="P54" s="39">
        <f t="shared" si="16"/>
        <v>0</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f>IF(COUNT(Vertices[Degree])&gt;0,D2,NoMetricMessage)</f>
        <v>1</v>
      </c>
      <c r="D55" s="34">
        <f t="shared" si="10"/>
        <v>4.727272727272724</v>
      </c>
      <c r="E55" s="3">
        <f>COUNTIF(Vertices[Degree],"&gt;= "&amp;D55)-COUNTIF(Vertices[Degree],"&gt;="&amp;D56)</f>
        <v>0</v>
      </c>
      <c r="F55" s="41">
        <f t="shared" si="11"/>
        <v>0</v>
      </c>
      <c r="G55" s="42">
        <f>COUNTIF(Vertices[In-Degree],"&gt;= "&amp;F55)-COUNTIF(Vertices[In-Degree],"&gt;="&amp;F56)</f>
        <v>0</v>
      </c>
      <c r="H55" s="41">
        <f t="shared" si="12"/>
        <v>0</v>
      </c>
      <c r="I55" s="42">
        <f>COUNTIF(Vertices[Out-Degree],"&gt;= "&amp;H55)-COUNTIF(Vertices[Out-Degree],"&gt;="&amp;H56)</f>
        <v>0</v>
      </c>
      <c r="J55" s="41">
        <f t="shared" si="13"/>
        <v>0</v>
      </c>
      <c r="K55" s="42">
        <f>COUNTIF(Vertices[Betweenness Centrality],"&gt;= "&amp;J55)-COUNTIF(Vertices[Betweenness Centrality],"&gt;="&amp;J56)</f>
        <v>0</v>
      </c>
      <c r="L55" s="41">
        <f t="shared" si="14"/>
        <v>0</v>
      </c>
      <c r="M55" s="42">
        <f>COUNTIF(Vertices[Closeness Centrality],"&gt;= "&amp;L55)-COUNTIF(Vertices[Closeness Centrality],"&gt;="&amp;L56)</f>
        <v>0</v>
      </c>
      <c r="N55" s="41">
        <f t="shared" si="15"/>
        <v>0</v>
      </c>
      <c r="O55" s="42">
        <f>COUNTIF(Vertices[Eigenvector Centrality],"&gt;= "&amp;N55)-COUNTIF(Vertices[Eigenvector Centrality],"&gt;="&amp;N56)</f>
        <v>0</v>
      </c>
      <c r="P55" s="41">
        <f t="shared" si="16"/>
        <v>0</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f>IF(COUNT(Vertices[Degree])&gt;0,D57,NoMetricMessage)</f>
        <v>6</v>
      </c>
      <c r="D56" s="34">
        <f t="shared" si="10"/>
        <v>4.818181818181815</v>
      </c>
      <c r="E56" s="3">
        <f>COUNTIF(Vertices[Degree],"&gt;= "&amp;D56)-COUNTIF(Vertices[Degree],"&gt;="&amp;D57)</f>
        <v>1</v>
      </c>
      <c r="F56" s="39">
        <f t="shared" si="11"/>
        <v>0</v>
      </c>
      <c r="G56" s="40">
        <f>COUNTIF(Vertices[In-Degree],"&gt;= "&amp;F56)-COUNTIF(Vertices[In-Degree],"&gt;="&amp;F57)</f>
        <v>0</v>
      </c>
      <c r="H56" s="39">
        <f t="shared" si="12"/>
        <v>0</v>
      </c>
      <c r="I56" s="40">
        <f>COUNTIF(Vertices[Out-Degree],"&gt;= "&amp;H56)-COUNTIF(Vertices[Out-Degree],"&gt;="&amp;H57)</f>
        <v>0</v>
      </c>
      <c r="J56" s="39">
        <f t="shared" si="13"/>
        <v>0</v>
      </c>
      <c r="K56" s="40">
        <f>COUNTIF(Vertices[Betweenness Centrality],"&gt;= "&amp;J56)-COUNTIF(Vertices[Betweenness Centrality],"&gt;="&amp;J57)</f>
        <v>0</v>
      </c>
      <c r="L56" s="39">
        <f t="shared" si="14"/>
        <v>0</v>
      </c>
      <c r="M56" s="40">
        <f>COUNTIF(Vertices[Closeness Centrality],"&gt;= "&amp;L56)-COUNTIF(Vertices[Closeness Centrality],"&gt;="&amp;L57)</f>
        <v>0</v>
      </c>
      <c r="N56" s="39">
        <f t="shared" si="15"/>
        <v>0</v>
      </c>
      <c r="O56" s="40">
        <f>COUNTIF(Vertices[Eigenvector Centrality],"&gt;= "&amp;N56)-COUNTIF(Vertices[Eigenvector Centrality],"&gt;="&amp;N57)</f>
        <v>0</v>
      </c>
      <c r="P56" s="39">
        <f t="shared" si="16"/>
        <v>0</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f>_xlfn.IFERROR(AVERAGE(Vertices[Degree]),NoMetricMessage)</f>
        <v>3.5</v>
      </c>
      <c r="D57" s="34">
        <f>MAX(Vertices[Degree])</f>
        <v>6</v>
      </c>
      <c r="E57" s="3">
        <f>COUNTIF(Vertices[Degree],"&gt;= "&amp;D57)-COUNTIF(Vertices[Degree],"&gt;="&amp;D58)</f>
        <v>1</v>
      </c>
      <c r="F57" s="43">
        <f>MAX(Vertices[In-Degree])</f>
        <v>0</v>
      </c>
      <c r="G57" s="44">
        <f>COUNTIF(Vertices[In-Degree],"&gt;= "&amp;F57)-COUNTIF(Vertices[In-Degree],"&gt;="&amp;F58)</f>
        <v>0</v>
      </c>
      <c r="H57" s="43">
        <f>MAX(Vertices[Out-Degree])</f>
        <v>0</v>
      </c>
      <c r="I57" s="44">
        <f>COUNTIF(Vertices[Out-Degree],"&gt;= "&amp;H57)-COUNTIF(Vertices[Out-Degree],"&gt;="&amp;H58)</f>
        <v>0</v>
      </c>
      <c r="J57" s="43">
        <f>MAX(Vertices[Betweenness Centrality])</f>
        <v>0</v>
      </c>
      <c r="K57" s="44">
        <f>COUNTIF(Vertices[Betweenness Centrality],"&gt;= "&amp;J57)-COUNTIF(Vertices[Betweenness Centrality],"&gt;="&amp;J58)</f>
        <v>0</v>
      </c>
      <c r="L57" s="43">
        <f>MAX(Vertices[Closeness Centrality])</f>
        <v>0</v>
      </c>
      <c r="M57" s="44">
        <f>COUNTIF(Vertices[Closeness Centrality],"&gt;= "&amp;L57)-COUNTIF(Vertices[Closeness Centrality],"&gt;="&amp;L58)</f>
        <v>0</v>
      </c>
      <c r="N57" s="43">
        <f>MAX(Vertices[Eigenvector Centrality])</f>
        <v>0</v>
      </c>
      <c r="O57" s="44">
        <f>COUNTIF(Vertices[Eigenvector Centrality],"&gt;= "&amp;N57)-COUNTIF(Vertices[Eigenvector Centrality],"&gt;="&amp;N58)</f>
        <v>0</v>
      </c>
      <c r="P57" s="43">
        <f>MAX(Vertices[PageRank])</f>
        <v>0</v>
      </c>
      <c r="Q57" s="44">
        <f>COUNTIF(Vertices[PageRank],"&gt;= "&amp;P57)-COUNTIF(Vertices[PageRank],"&gt;="&amp;P58)</f>
        <v>0</v>
      </c>
      <c r="R57" s="43">
        <f>MAX(Vertices[Clustering Coefficient])</f>
        <v>0</v>
      </c>
      <c r="S57" s="47">
        <f>COUNTIF(Vertices[Clustering Coefficient],"&gt;= "&amp;R57)-COUNTIF(Vertices[Clustering Coefficient],"&gt;="&amp;R58)</f>
        <v>0</v>
      </c>
      <c r="T57" s="43" t="e">
        <f ca="1">MAX(INDIRECT(DynamicFilterSourceColumnRange))</f>
        <v>#REF!</v>
      </c>
      <c r="U57" s="44" t="e">
        <f ca="1" t="shared" si="0"/>
        <v>#REF!</v>
      </c>
    </row>
    <row r="58" spans="1:2" ht="15">
      <c r="A58" s="35" t="s">
        <v>84</v>
      </c>
      <c r="B58" s="49">
        <f>_xlfn.IFERROR(MEDIAN(Vertices[Degree]),NoMetricMessage)</f>
        <v>3.5</v>
      </c>
    </row>
    <row r="69" spans="1:2" ht="15">
      <c r="A69" s="35" t="s">
        <v>88</v>
      </c>
      <c r="B69" s="48" t="str">
        <f>IF(COUNT(Vertices[In-Degree])&gt;0,F2,NoMetricMessage)</f>
        <v>Not Available</v>
      </c>
    </row>
    <row r="70" spans="1:2" ht="15">
      <c r="A70" s="35" t="s">
        <v>89</v>
      </c>
      <c r="B70" s="48" t="str">
        <f>IF(COUNT(Vertices[In-Degree])&gt;0,F57,NoMetricMessage)</f>
        <v>Not Available</v>
      </c>
    </row>
    <row r="71" spans="1:2" ht="15">
      <c r="A71" s="35" t="s">
        <v>90</v>
      </c>
      <c r="B71" s="49" t="str">
        <f>_xlfn.IFERROR(AVERAGE(Vertices[In-Degree]),NoMetricMessage)</f>
        <v>Not Available</v>
      </c>
    </row>
    <row r="72" spans="1:2" ht="15">
      <c r="A72" s="35" t="s">
        <v>91</v>
      </c>
      <c r="B72" s="49" t="str">
        <f>_xlfn.IFERROR(MEDIAN(Vertices[In-Degree]),NoMetricMessage)</f>
        <v>Not Available</v>
      </c>
    </row>
    <row r="83" spans="1:2" ht="15">
      <c r="A83" s="35" t="s">
        <v>94</v>
      </c>
      <c r="B83" s="48" t="str">
        <f>IF(COUNT(Vertices[Out-Degree])&gt;0,H2,NoMetricMessage)</f>
        <v>Not Available</v>
      </c>
    </row>
    <row r="84" spans="1:2" ht="15">
      <c r="A84" s="35" t="s">
        <v>95</v>
      </c>
      <c r="B84" s="48" t="str">
        <f>IF(COUNT(Vertices[Out-Degree])&gt;0,H57,NoMetricMessage)</f>
        <v>Not Available</v>
      </c>
    </row>
    <row r="85" spans="1:2" ht="15">
      <c r="A85" s="35" t="s">
        <v>96</v>
      </c>
      <c r="B85" s="49" t="str">
        <f>_xlfn.IFERROR(AVERAGE(Vertices[Out-Degree]),NoMetricMessage)</f>
        <v>Not Available</v>
      </c>
    </row>
    <row r="86" spans="1:2" ht="15">
      <c r="A86" s="35" t="s">
        <v>97</v>
      </c>
      <c r="B86" s="49" t="str">
        <f>_xlfn.IFERROR(MEDIAN(Vertices[Out-Degree]),NoMetricMessage)</f>
        <v>Not Available</v>
      </c>
    </row>
    <row r="97" spans="1:2" ht="15">
      <c r="A97" s="35" t="s">
        <v>100</v>
      </c>
      <c r="B97" s="49" t="str">
        <f>IF(COUNT(Vertices[Betweenness Centrality])&gt;0,J2,NoMetricMessage)</f>
        <v>Not Available</v>
      </c>
    </row>
    <row r="98" spans="1:2" ht="15">
      <c r="A98" s="35" t="s">
        <v>101</v>
      </c>
      <c r="B98" s="49" t="str">
        <f>IF(COUNT(Vertices[Betweenness Centrality])&gt;0,J57,NoMetricMessage)</f>
        <v>Not Available</v>
      </c>
    </row>
    <row r="99" spans="1:2" ht="15">
      <c r="A99" s="35" t="s">
        <v>102</v>
      </c>
      <c r="B99" s="49" t="str">
        <f>_xlfn.IFERROR(AVERAGE(Vertices[Betweenness Centrality]),NoMetricMessage)</f>
        <v>Not Available</v>
      </c>
    </row>
    <row r="100" spans="1:2" ht="15">
      <c r="A100" s="35" t="s">
        <v>103</v>
      </c>
      <c r="B100" s="49" t="str">
        <f>_xlfn.IFERROR(MEDIAN(Vertices[Betweenness Centrality]),NoMetricMessage)</f>
        <v>Not Available</v>
      </c>
    </row>
    <row r="111" spans="1:2" ht="15">
      <c r="A111" s="35" t="s">
        <v>106</v>
      </c>
      <c r="B111" s="49" t="str">
        <f>IF(COUNT(Vertices[Closeness Centrality])&gt;0,L2,NoMetricMessage)</f>
        <v>Not Available</v>
      </c>
    </row>
    <row r="112" spans="1:2" ht="15">
      <c r="A112" s="35" t="s">
        <v>107</v>
      </c>
      <c r="B112" s="49" t="str">
        <f>IF(COUNT(Vertices[Closeness Centrality])&gt;0,L57,NoMetricMessage)</f>
        <v>Not Available</v>
      </c>
    </row>
    <row r="113" spans="1:2" ht="15">
      <c r="A113" s="35" t="s">
        <v>108</v>
      </c>
      <c r="B113" s="49" t="str">
        <f>_xlfn.IFERROR(AVERAGE(Vertices[Closeness Centrality]),NoMetricMessage)</f>
        <v>Not Available</v>
      </c>
    </row>
    <row r="114" spans="1:2" ht="15">
      <c r="A114" s="35" t="s">
        <v>109</v>
      </c>
      <c r="B114" s="49" t="str">
        <f>_xlfn.IFERROR(MEDIAN(Vertices[Closeness Centrality]),NoMetricMessage)</f>
        <v>Not Available</v>
      </c>
    </row>
    <row r="125" spans="1:2" ht="15">
      <c r="A125" s="35" t="s">
        <v>112</v>
      </c>
      <c r="B125" s="49" t="str">
        <f>IF(COUNT(Vertices[Eigenvector Centrality])&gt;0,N2,NoMetricMessage)</f>
        <v>Not Available</v>
      </c>
    </row>
    <row r="126" spans="1:2" ht="15">
      <c r="A126" s="35" t="s">
        <v>113</v>
      </c>
      <c r="B126" s="49" t="str">
        <f>IF(COUNT(Vertices[Eigenvector Centrality])&gt;0,N57,NoMetricMessage)</f>
        <v>Not Available</v>
      </c>
    </row>
    <row r="127" spans="1:2" ht="15">
      <c r="A127" s="35" t="s">
        <v>114</v>
      </c>
      <c r="B127" s="49" t="str">
        <f>_xlfn.IFERROR(AVERAGE(Vertices[Eigenvector Centrality]),NoMetricMessage)</f>
        <v>Not Available</v>
      </c>
    </row>
    <row r="128" spans="1:2" ht="15">
      <c r="A128" s="35" t="s">
        <v>115</v>
      </c>
      <c r="B128" s="49" t="str">
        <f>_xlfn.IFERROR(MEDIAN(Vertices[Eigenvector Centrality]),NoMetricMessage)</f>
        <v>Not Available</v>
      </c>
    </row>
    <row r="139" spans="1:2" ht="15">
      <c r="A139" s="35" t="s">
        <v>140</v>
      </c>
      <c r="B139" s="49" t="str">
        <f>IF(COUNT(Vertices[PageRank])&gt;0,P2,NoMetricMessage)</f>
        <v>Not Available</v>
      </c>
    </row>
    <row r="140" spans="1:2" ht="15">
      <c r="A140" s="35" t="s">
        <v>141</v>
      </c>
      <c r="B140" s="49" t="str">
        <f>IF(COUNT(Vertices[PageRank])&gt;0,P57,NoMetricMessage)</f>
        <v>Not Available</v>
      </c>
    </row>
    <row r="141" spans="1:2" ht="15">
      <c r="A141" s="35" t="s">
        <v>142</v>
      </c>
      <c r="B141" s="49" t="str">
        <f>_xlfn.IFERROR(AVERAGE(Vertices[PageRank]),NoMetricMessage)</f>
        <v>Not Available</v>
      </c>
    </row>
    <row r="142" spans="1:2" ht="15">
      <c r="A142" s="35" t="s">
        <v>143</v>
      </c>
      <c r="B142" s="49" t="str">
        <f>_xlfn.IFERROR(MEDIAN(Vertices[PageRank]),NoMetricMessage)</f>
        <v>Not Available</v>
      </c>
    </row>
    <row r="153" spans="1:2" ht="15">
      <c r="A153" s="35" t="s">
        <v>118</v>
      </c>
      <c r="B153" s="49" t="str">
        <f>IF(COUNT(Vertices[Clustering Coefficient])&gt;0,R2,NoMetricMessage)</f>
        <v>Not Available</v>
      </c>
    </row>
    <row r="154" spans="1:2" ht="15">
      <c r="A154" s="35" t="s">
        <v>119</v>
      </c>
      <c r="B154" s="49" t="str">
        <f>IF(COUNT(Vertices[Clustering Coefficient])&gt;0,R57,NoMetricMessage)</f>
        <v>Not Available</v>
      </c>
    </row>
    <row r="155" spans="1:2" ht="15">
      <c r="A155" s="35" t="s">
        <v>120</v>
      </c>
      <c r="B155" s="49" t="str">
        <f>_xlfn.IFERROR(AVERAGE(Vertices[Clustering Coefficient]),NoMetricMessage)</f>
        <v>Not Available</v>
      </c>
    </row>
    <row r="156" spans="1:2" ht="15">
      <c r="A156" s="35" t="s">
        <v>121</v>
      </c>
      <c r="B156"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191</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182</v>
      </c>
      <c r="K7" t="s">
        <v>187</v>
      </c>
    </row>
    <row r="8" spans="1:11" ht="15">
      <c r="A8"/>
      <c r="B8">
        <v>2</v>
      </c>
      <c r="C8">
        <v>2</v>
      </c>
      <c r="D8" t="s">
        <v>61</v>
      </c>
      <c r="E8" t="s">
        <v>61</v>
      </c>
      <c r="H8" t="s">
        <v>73</v>
      </c>
      <c r="J8" t="s">
        <v>183</v>
      </c>
      <c r="K8" t="s">
        <v>211</v>
      </c>
    </row>
    <row r="9" spans="1:11" ht="409.5">
      <c r="A9"/>
      <c r="B9">
        <v>3</v>
      </c>
      <c r="C9">
        <v>4</v>
      </c>
      <c r="D9" t="s">
        <v>62</v>
      </c>
      <c r="E9" t="s">
        <v>62</v>
      </c>
      <c r="H9" t="s">
        <v>74</v>
      </c>
      <c r="J9" t="s">
        <v>184</v>
      </c>
      <c r="K9" s="13" t="s">
        <v>192</v>
      </c>
    </row>
    <row r="10" spans="1:11" ht="409.5">
      <c r="A10"/>
      <c r="B10">
        <v>4</v>
      </c>
      <c r="D10" t="s">
        <v>63</v>
      </c>
      <c r="E10" t="s">
        <v>63</v>
      </c>
      <c r="H10" t="s">
        <v>75</v>
      </c>
      <c r="J10" t="s">
        <v>186</v>
      </c>
      <c r="K10" s="99" t="s">
        <v>193</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Space Lab</cp:lastModifiedBy>
  <dcterms:created xsi:type="dcterms:W3CDTF">2008-01-30T00:41:58Z</dcterms:created>
  <dcterms:modified xsi:type="dcterms:W3CDTF">2019-11-07T17:44:26Z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