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9.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<sst xmlns="http://schemas.openxmlformats.org/spreadsheetml/2006/main" count="1617" uniqueCount="559">
  <si>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</si>
  <si>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</si>
  <si>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</si>
  <si>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</si>
  <si>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</si>
  <si>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</si>
  <si>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</si>
  <si>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</si>
  <si>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</si>
  <si>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</si>
  <si>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</si>
  <si>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</si>
  <si>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</si>
  <si>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</si>
  <si>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</si>
  <si>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</si>
  <si>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</si>
  <si>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</si>
  <si>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</si>
  <si>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</si>
  <si>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</si>
  <si>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</si>
  <si>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</si>
  <si>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</si>
  <si>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</si>
  <si>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</si>
  <si>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</si>
  <si>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</si>
  <si>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</si>
  <si>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</si>
  <si>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</si>
  <si>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</si>
  <si>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</si>
  <si>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</si>
  <si>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</si>
  <si>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</si>
  <si>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</si>
  <si>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</si>
  <si>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</si>
  <si>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</si>
  <si>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</si>
  <si>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</si>
  <si>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</si>
  <si>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</si>
  <si>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</si>
  <si>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</si>
  <si>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</si>
  <si>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</si>
  <si>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</si>
  <si>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</si>
  <si>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</si>
  <si>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</si>
  <si>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</si>
  <si>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</si>
  <si>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</si>
  <si>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</si>
  <si>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</si>
  <si>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</si>
  <si>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</si>
  <si>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</si>
  <si>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</si>
  <si>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</si>
  <si>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</si>
  <si>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</si>
  <si>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</si>
  <si>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</si>
  <si>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</si>
  <si>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</si>
  <si>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</si>
  <si>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</si>
  <si>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</si>
  <si>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</si>
  <si>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</si>
  <si>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</si>
  <si>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</si>
  <si>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</si>
  <si>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</si>
  <si>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</si>
  <si>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</si>
  <si>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</si>
  <si>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</si>
  <si>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</si>
  <si>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</si>
  <si>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</si>
  <si>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</si>
  <si>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</si>
  <si>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</si>
  <si>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</si>
  <si>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</si>
  <si>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</si>
  <si>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</si>
  <si>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</si>
  <si>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</si>
  <si>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</si>
  <si>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</si>
  <si>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</si>
  <si>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</si>
  <si>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</si>
  <si>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</si>
  <si>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</si>
  <si>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</si>
  <si>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</si>
  <si>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</si>
  <si>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</si>
  <si>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</si>
  <si>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</si>
  <si>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</si>
  <si>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</si>
  <si>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</si>
  <si>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</si>
  <si>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</si>
  <si>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</si>
  <si>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</si>
  <si>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</si>
  <si>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</si>
  <si>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</si>
  <si>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</si>
  <si>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</si>
  <si>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</si>
  <si>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</si>
  <si>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</si>
  <si>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</si>
  <si>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</si>
  <si>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</si>
  <si>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</si>
  <si>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</si>
  <si>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</si>
  <si>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</si>
  <si>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</si>
  <si>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</si>
  <si>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</si>
  <si>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</si>
  <si>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</si>
  <si>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</si>
  <si>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</si>
  <si>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</si>
  <si>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</si>
  <si>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</si>
  <si>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</si>
  <si>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</si>
  <si>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</si>
  <si>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</si>
  <si>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</si>
  <si>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</si>
  <si>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</si>
  <si>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</si>
  <si>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</si>
  <si>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</si>
  <si>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</si>
  <si>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</si>
  <si>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</si>
  <si>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</si>
  <si>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</si>
  <si>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</si>
  <si>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</si>
  <si>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</si>
  <si>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</si>
  <si>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</si>
  <si>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</si>
  <si>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</si>
  <si>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</si>
  <si>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</si>
  <si>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</si>
  <si>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</si>
  <si>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</si>
  <si>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</si>
  <si>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</si>
  <si>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</si>
  <si>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</si>
  <si>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</si>
  <si>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</si>
  <si>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</si>
  <si>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</si>
  <si>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</si>
  <si>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</si>
  <si>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</si>
  <si>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</si>
  <si>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</si>
  <si>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</si>
  <si>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</si>
  <si>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</si>
  <si>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</si>
  <si>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</si>
  <si>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</si>
  <si>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</si>
  <si>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</si>
  <si>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</si>
  <si>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</si>
  <si>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</si>
  <si>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</si>
  <si>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</si>
  <si>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</si>
  <si>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</si>
  <si>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</si>
  <si>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</si>
  <si>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</si>
  <si>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</si>
  <si>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</si>
  <si>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</si>
  <si>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</si>
  <si>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</si>
  <si>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</si>
  <si>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</si>
  <si>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</si>
  <si>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</si>
  <si>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</si>
  <si>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</si>
  <si>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</si>
  <si>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</si>
  <si>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</si>
  <si>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</si>
  <si>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</si>
  <si>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socialrivals</t>
  </si>
  <si>
    <t>timmcclure23</t>
  </si>
  <si>
    <t>onewalktoronto</t>
  </si>
  <si>
    <t>pmunkcardiacctr</t>
  </si>
  <si>
    <t>enbridge</t>
  </si>
  <si>
    <t>harryroseninc</t>
  </si>
  <si>
    <t>scotiabank</t>
  </si>
  <si>
    <t>longosmarkets</t>
  </si>
  <si>
    <t>theontarioride</t>
  </si>
  <si>
    <t>roadhockey</t>
  </si>
  <si>
    <t>mburnspmcf</t>
  </si>
  <si>
    <t>thepmcf</t>
  </si>
  <si>
    <t>pmcancercentre</t>
  </si>
  <si>
    <t>Mentions</t>
  </si>
  <si>
    <t>Check out this Rivalry between @PMunkCardiacCtr #thePMCF #tgwhf  Find out here: https://t.co/tzfxYb5xWa #socialrivals</t>
  </si>
  <si>
    <t>THIS is why we support @pmcancercentre @thePMCF @MburnsPMCF @RoadHockey @OneWalkToronto @TheOntarioRide and the sponsors that step up to support them like @LongosMarkets @scotiabank @harryroseninc @Enbridge and so many others! #conquer #together #ThePMCF https://t.co/6r5NK4BC3T</t>
  </si>
  <si>
    <t>RT @TimMcClure23: THIS is why we support @pmcancercentre @thePMCF @MburnsPMCF @RoadHockey @OneWalkToronto @TheOntarioRide and the sponsors…</t>
  </si>
  <si>
    <t>http://www.socialrivals.com/</t>
  </si>
  <si>
    <t>https://twitter.com/thepmcf/status/1080841215262711808</t>
  </si>
  <si>
    <t>socialrivals.com</t>
  </si>
  <si>
    <t>twitter.com</t>
  </si>
  <si>
    <t>thepmcf tgwhf socialrivals</t>
  </si>
  <si>
    <t>conquer together thepmcf</t>
  </si>
  <si>
    <t>http://pbs.twimg.com/profile_images/495235732819034112/3k-ynFVE_normal.png</t>
  </si>
  <si>
    <t>http://pbs.twimg.com/profile_images/675080091035172864/HZ5U7SeD_normal.jpg</t>
  </si>
  <si>
    <t>http://pbs.twimg.com/profile_images/697284678760292353/bTd3nDOn_normal.png</t>
  </si>
  <si>
    <t>https://twitter.com/#!/socialrivals/status/1071293551714205696</t>
  </si>
  <si>
    <t>https://twitter.com/#!/timmcclure23/status/1080844486710906880</t>
  </si>
  <si>
    <t>https://twitter.com/#!/timmcclure23/status/1080925150223183874</t>
  </si>
  <si>
    <t>https://twitter.com/#!/onewalktoronto/status/1086370671213641728</t>
  </si>
  <si>
    <t>1071293551714205696</t>
  </si>
  <si>
    <t>1080844486710906880</t>
  </si>
  <si>
    <t>1080925150223183874</t>
  </si>
  <si>
    <t>1086370671213641728</t>
  </si>
  <si>
    <t/>
  </si>
  <si>
    <t>en</t>
  </si>
  <si>
    <t>1080841215262711808</t>
  </si>
  <si>
    <t>SocialRivals</t>
  </si>
  <si>
    <t>Twitter for iPhone</t>
  </si>
  <si>
    <t>-79.810961,43.309929 
-79.479201,43.309929 
-79.479201,43.5264522 
-79.810961,43.5264522</t>
  </si>
  <si>
    <t>Canada</t>
  </si>
  <si>
    <t>CA</t>
  </si>
  <si>
    <t>Oakville, Ontario</t>
  </si>
  <si>
    <t>61ecf520fef6ce72</t>
  </si>
  <si>
    <t>Oakville</t>
  </si>
  <si>
    <t>city</t>
  </si>
  <si>
    <t>https://api.twitter.com/1.1/geo/id/61ecf520fef6ce72.json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</si>
  <si>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</si>
  <si>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</si>
  <si>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</si>
  <si>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</si>
  <si>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</si>
  <si>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</si>
  <si>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</si>
  <si>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</si>
  <si>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</si>
  <si>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</si>
  <si>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</si>
  <si>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</si>
  <si>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</si>
  <si>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</si>
  <si>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</si>
  <si>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</si>
  <si>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</si>
  <si>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</si>
  <si>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</si>
  <si>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</si>
  <si>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</si>
  <si>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Peter Munk Cardiac Centre</t>
  </si>
  <si>
    <t>Tim McClure</t>
  </si>
  <si>
    <t>Enbridge</t>
  </si>
  <si>
    <t>Harry Rosen Menswear</t>
  </si>
  <si>
    <t>Scotiabank</t>
  </si>
  <si>
    <t>Longo's</t>
  </si>
  <si>
    <t>The Ontario Ride</t>
  </si>
  <si>
    <t>OneWalk Toronto</t>
  </si>
  <si>
    <t>Road Hockey</t>
  </si>
  <si>
    <t>Michael Burns</t>
  </si>
  <si>
    <t>Princess Margaret CF</t>
  </si>
  <si>
    <t>Princess Margaret Cancer Centre</t>
  </si>
  <si>
    <t>Compare your social efforts with your top competitors to see how you stack up against the competition</t>
  </si>
  <si>
    <t>Leading cardiovascular care centre at the University Health Network (UHN). 
MEDIA INQUIRIES: please call: 647-669-8416</t>
  </si>
  <si>
    <t>Keynote Speaker, Executive Leadership &amp; Brand Consultant at TMP, Honorary Chairman of The PMCF; Stage 4 Cancer Survivor, Proud Dad, Passionate About Good People</t>
  </si>
  <si>
    <t>Enbridge Inc. is a North American leader in delivering energy.  For more information, visit http://t.co/wfu1c964SB</t>
  </si>
  <si>
    <t>Founded in 1954 by the man whose name the chain still bears, this is the official Twitter account of Harry Rosen Menswear.</t>
  </si>
  <si>
    <t>Welcome to Scotiabank! For questions &amp; customer service requests, please visit @ScotiabankHelps. Our disclaimer: https://t.co/LXHRj3fHL8</t>
  </si>
  <si>
    <t>The highest standards are family standards. Feeding families since 1956.</t>
  </si>
  <si>
    <t>June 9-10, 2018 The Enbridge Ride to Conquer Cancer benefiting The Princess Margaret Cancer Centre</t>
  </si>
  <si>
    <t>The Rexall OneWalk to Conquer Cancer benefiting Princess Margaret Cancer Centre. September 6-7, 2019. Choose Your Distance. Choose Your Impact. Conquer Cancer.</t>
  </si>
  <si>
    <t>Scotiabank Road Hockey to Conquer Cancer has raised over $10 million for the Princess Margaret Cancer Foundation – Register your team today!</t>
  </si>
  <si>
    <t>President &amp; CEO, The Princess Margaret Cancer Foundation @ThePMCF</t>
  </si>
  <si>
    <t>The Princess Margaret Cancer Foundation raises funds to support Personalized Cancer Medicine at one of the top 5 cancer research centres in the world. #PMCFtop5</t>
  </si>
  <si>
    <t>Princess Margaret is one of the largest cancer centres in the world. Our team is dedicated to caring, learning and finding the answers.</t>
  </si>
  <si>
    <t>Toronto</t>
  </si>
  <si>
    <t>North America</t>
  </si>
  <si>
    <t>Toronto, Ontario</t>
  </si>
  <si>
    <t>GTA, Ontario</t>
  </si>
  <si>
    <t>Ontario, Canada</t>
  </si>
  <si>
    <t>http://t.co/NMsofuDe8Y</t>
  </si>
  <si>
    <t>http://www.petermunkcardiaccentre.ca</t>
  </si>
  <si>
    <t>https://t.co/DeVDxv4bWN</t>
  </si>
  <si>
    <t>http://t.co/wfu1c964SB</t>
  </si>
  <si>
    <t>http://www.harryrosen.com/</t>
  </si>
  <si>
    <t>https://t.co/mtVh0Gfh0s</t>
  </si>
  <si>
    <t>http://t.co/zY8CCmT2C5</t>
  </si>
  <si>
    <t>https://t.co/d4OdL5AxvD</t>
  </si>
  <si>
    <t>http://t.co/56HCQw1iWf</t>
  </si>
  <si>
    <t>http://t.co/MvUEofCbDz</t>
  </si>
  <si>
    <t>https://t.co/8KFC4wBUJs</t>
  </si>
  <si>
    <t>https://t.co/kxMiAWeFtG</t>
  </si>
  <si>
    <t>Eastern Time (US &amp; Canada)</t>
  </si>
  <si>
    <t>https://pbs.twimg.com/profile_banners/28596360/1547153042</t>
  </si>
  <si>
    <t>https://pbs.twimg.com/profile_banners/1898428039/1505413705</t>
  </si>
  <si>
    <t>https://pbs.twimg.com/profile_banners/84181532/1493677905</t>
  </si>
  <si>
    <t>https://pbs.twimg.com/profile_banners/267907692/1510255436</t>
  </si>
  <si>
    <t>https://pbs.twimg.com/profile_banners/19638600/1532352380</t>
  </si>
  <si>
    <t>https://pbs.twimg.com/profile_banners/63154208/1542056987</t>
  </si>
  <si>
    <t>https://pbs.twimg.com/profile_banners/89768177/1513713557</t>
  </si>
  <si>
    <t>https://pbs.twimg.com/profile_banners/2571741373/1536867398</t>
  </si>
  <si>
    <t>https://pbs.twimg.com/profile_banners/178047160/1515421765</t>
  </si>
  <si>
    <t>https://pbs.twimg.com/profile_banners/821437199040315392/1515535849</t>
  </si>
  <si>
    <t>https://pbs.twimg.com/profile_banners/16827492/1536611671</t>
  </si>
  <si>
    <t>https://pbs.twimg.com/profile_banners/4127912357/1446826636</t>
  </si>
  <si>
    <t>http://abs.twimg.com/images/themes/theme1/bg.png</t>
  </si>
  <si>
    <t>http://abs.twimg.com/images/themes/theme12/bg.gif</t>
  </si>
  <si>
    <t>http://abs.twimg.com/images/themes/theme9/bg.gif</t>
  </si>
  <si>
    <t>http://pbs.twimg.com/profile_background_images/450646761283915776/R3zit61U.jpeg</t>
  </si>
  <si>
    <t>http://abs.twimg.com/images/themes/theme5/bg.gif</t>
  </si>
  <si>
    <t>http://pbs.twimg.com/profile_background_images/514121096119873536/bCfQeLIF.jpeg</t>
  </si>
  <si>
    <t>http://pbs.twimg.com/profile_images/499947006115069952/EYWr3sR__normal.jpeg</t>
  </si>
  <si>
    <t>http://pbs.twimg.com/profile_images/513913798567002113/J6kLU4Tu_normal.jpeg</t>
  </si>
  <si>
    <t>http://pbs.twimg.com/profile_images/798536109844115456/uj2Qtw4-_normal.jpg</t>
  </si>
  <si>
    <t>http://pbs.twimg.com/profile_images/1060954815474360320/H8h8uiiF_normal.jpg</t>
  </si>
  <si>
    <t>http://pbs.twimg.com/profile_images/725322691377418240/2JdVp3Rx_normal.jpg</t>
  </si>
  <si>
    <t>http://pbs.twimg.com/profile_images/905527290368466944/HWv9-BVI_normal.jpg</t>
  </si>
  <si>
    <t>http://pbs.twimg.com/profile_images/855091966866055170/MXDv4NpN_normal.jpg</t>
  </si>
  <si>
    <t>http://pbs.twimg.com/profile_images/950846791813124096/8lzO7Gjd_normal.jpg</t>
  </si>
  <si>
    <t>http://pbs.twimg.com/profile_images/753606995077435392/0XRI28kj_normal.jpg</t>
  </si>
  <si>
    <t>http://pbs.twimg.com/profile_images/662669537129574400/dcwHw5NT_normal.jpg</t>
  </si>
  <si>
    <t>Open Twitter Page for This Person</t>
  </si>
  <si>
    <t>https://twitter.com/socialrivals</t>
  </si>
  <si>
    <t>https://twitter.com/pmunkcardiacctr</t>
  </si>
  <si>
    <t>https://twitter.com/timmcclure23</t>
  </si>
  <si>
    <t>https://twitter.com/enbridge</t>
  </si>
  <si>
    <t>https://twitter.com/harryroseninc</t>
  </si>
  <si>
    <t>https://twitter.com/scotiabank</t>
  </si>
  <si>
    <t>https://twitter.com/longosmarkets</t>
  </si>
  <si>
    <t>https://twitter.com/theontarioride</t>
  </si>
  <si>
    <t>https://twitter.com/onewalktoronto</t>
  </si>
  <si>
    <t>https://twitter.com/roadhockey</t>
  </si>
  <si>
    <t>https://twitter.com/mburnspmcf</t>
  </si>
  <si>
    <t>https://twitter.com/thepmcf</t>
  </si>
  <si>
    <t>https://twitter.com/pmcancercentre</t>
  </si>
  <si>
    <t>socialrivals
Check out this Rivalry between
@PMunkCardiacCtr #thePMCF #tgwhf
Find out here: https://t.co/tzfxYb5xWa
#socialrivals</t>
  </si>
  <si>
    <t xml:space="preserve">pmunkcardiacctr
</t>
  </si>
  <si>
    <t>timmcclure23
RT @TimMcClure23: THIS is why we
support @pmcancercentre @thePMCF
@MburnsPMCF @RoadHockey @OneWalkToronto
@TheOntarioRide and the sponsors…</t>
  </si>
  <si>
    <t xml:space="preserve">enbridge
</t>
  </si>
  <si>
    <t xml:space="preserve">harryroseninc
</t>
  </si>
  <si>
    <t xml:space="preserve">scotiabank
</t>
  </si>
  <si>
    <t xml:space="preserve">longosmarkets
</t>
  </si>
  <si>
    <t xml:space="preserve">theontarioride
</t>
  </si>
  <si>
    <t>onewalktoronto
RT @TimMcClure23: THIS is why we
support @pmcancercentre @thePMCF
@MburnsPMCF @RoadHockey @OneWalkToronto
@TheOntarioRide and the sponsors…</t>
  </si>
  <si>
    <t xml:space="preserve">roadhockey
</t>
  </si>
  <si>
    <t xml:space="preserve">mburnspmcf
</t>
  </si>
  <si>
    <t xml:space="preserve">thepmcf
</t>
  </si>
  <si>
    <t xml:space="preserve">pmcancercentre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</si>
  <si>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</si>
  <si>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</si>
  <si>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</si>
  <si>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</si>
  <si>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</si>
  <si>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</si>
  <si>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</si>
  <si>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</si>
  <si>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</si>
  <si>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</si>
  <si>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</si>
  <si>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</si>
  <si>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</si>
  <si>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</si>
  <si>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</si>
  <si>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</si>
  <si>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</si>
  <si>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</si>
  <si>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</si>
  <si>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</si>
  <si>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</si>
  <si>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</si>
  <si>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</si>
  <si>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</si>
  <si>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</si>
  <si>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</si>
  <si>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</si>
  <si>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</si>
  <si>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</si>
  <si>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</si>
  <si>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</si>
  <si>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</si>
  <si>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</si>
  <si>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</si>
  <si>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</si>
  <si>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</si>
  <si>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</si>
  <si>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</si>
  <si>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</si>
  <si>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</si>
  <si>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</si>
  <si>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</si>
  <si>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0, 12, 96</t>
  </si>
  <si>
    <t>0, 136, 227</t>
  </si>
  <si>
    <t>0, 100, 50</t>
  </si>
  <si>
    <t>Vertex Group</t>
  </si>
  <si>
    <t>Vertex 1 Group</t>
  </si>
  <si>
    <t>Vertex 2 Group</t>
  </si>
  <si>
    <t>Group 1</t>
  </si>
  <si>
    <t>Group 2</t>
  </si>
  <si>
    <t>Edges</t>
  </si>
  <si>
    <t>Graph Type</t>
  </si>
  <si>
    <t>Number of Edge Types</t>
  </si>
  <si>
    <t>Modularity</t>
  </si>
  <si>
    <t>NodeXL Version</t>
  </si>
  <si>
    <t>1.0.1.408</t>
  </si>
  <si>
    <t>Top URLs in Tweet in Entire Graph</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</si>
  <si>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</si>
  <si>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</si>
  <si>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</si>
  <si>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</si>
  <si>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</si>
  <si>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</si>
  <si>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</si>
  <si>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</si>
  <si>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</si>
  <si>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</si>
  <si>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</si>
  <si>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</si>
  <si>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</si>
  <si>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</si>
  <si>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conquer</t>
  </si>
  <si>
    <t>together</t>
  </si>
  <si>
    <t>tgwhf</t>
  </si>
  <si>
    <t>Top Hashtags in Tweet in G1</t>
  </si>
  <si>
    <t>Top Hashtags in Tweet in G2</t>
  </si>
  <si>
    <t>Top Hashtags in Tweet in G3</t>
  </si>
  <si>
    <t>Top Hashtags in Tweet</t>
  </si>
  <si>
    <t>Top Words in Tweet in Entire Graph</t>
  </si>
  <si>
    <t>Words in Sentiment List#1: Positive</t>
  </si>
  <si>
    <t>Words in Sentiment List#2: Negative</t>
  </si>
  <si>
    <t>Words in Sentiment List#3: Angry/Violent</t>
  </si>
  <si>
    <t>Non-categorized Words</t>
  </si>
  <si>
    <t>Total Words</t>
  </si>
  <si>
    <t>support</t>
  </si>
  <si>
    <t>Top Words in Tweet in G1</t>
  </si>
  <si>
    <t>Top Words in Tweet in G2</t>
  </si>
  <si>
    <t>sponsors</t>
  </si>
  <si>
    <t>Top Words in Tweet in G3</t>
  </si>
  <si>
    <t>out</t>
  </si>
  <si>
    <t>Top Words in Tweet</t>
  </si>
  <si>
    <t>support thepmcf pmcancercentre mburnspmcf roadhockey onewalktoronto theontarioride sponsors</t>
  </si>
  <si>
    <t>Top Word Pairs in Tweet in Entire Graph</t>
  </si>
  <si>
    <t>support,pmcancercentre</t>
  </si>
  <si>
    <t>pmcancercentre,thepmcf</t>
  </si>
  <si>
    <t>thepmcf,mburnspmcf</t>
  </si>
  <si>
    <t>mburnspmcf,roadhockey</t>
  </si>
  <si>
    <t>roadhockey,onewalktoronto</t>
  </si>
  <si>
    <t>onewalktoronto,theontarioride</t>
  </si>
  <si>
    <t>theontarioride,sponsors</t>
  </si>
  <si>
    <t>timmcclure23,support</t>
  </si>
  <si>
    <t>Top Word Pairs in Tweet in G1</t>
  </si>
  <si>
    <t>Top Word Pairs in Tweet in G2</t>
  </si>
  <si>
    <t>Top Word Pairs in Tweet in G3</t>
  </si>
  <si>
    <t>Top Word Pairs in Tweet</t>
  </si>
  <si>
    <t>support,pmcancercentre  pmcancercentre,thepmcf  thepmcf,mburnspmcf  mburnspmcf,roadhockey  roadhockey,onewalktoronto  onewalktoronto,theontarioride  theontarioride,sponsors</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</si>
  <si>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</si>
  <si>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</si>
  <si>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</si>
  <si>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</si>
  <si>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</si>
  <si>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</si>
  <si>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</si>
  <si>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</si>
  <si>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</si>
  <si>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</si>
  <si>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timmcclure23 pmcancercentre thepmcf mburnspmcf roadhockey onewalktoronto theontarioride</t>
  </si>
  <si>
    <t>pmcancercentre thepmcf mburnspmcf roadhockey onewalktoronto theontarioride timmcclure23 longosmarkets scotiabank harryroseninc</t>
  </si>
  <si>
    <t>Top Tweeters in Entire Graph</t>
  </si>
  <si>
    <t>Top Tweeters in G1</t>
  </si>
  <si>
    <t>Top Tweeters in G2</t>
  </si>
  <si>
    <t>Top Tweeters in G3</t>
  </si>
  <si>
    <t>Top Tweeters</t>
  </si>
  <si>
    <t>thepmcf theontarioride onewalktoronto roadhockey mburnspmcf pmcancercentre</t>
  </si>
  <si>
    <t>timmcclure23 longosmarkets enbridge harryroseninc scotiabank</t>
  </si>
  <si>
    <t>socialrivals pmunkcardiacctr</t>
  </si>
  <si>
    <t>Top URLs in Tweet by Count</t>
  </si>
  <si>
    <t>Top URLs in Tweet by Salience</t>
  </si>
  <si>
    <t>Top Domains in Tweet by Count</t>
  </si>
  <si>
    <t>Top Domains in Tweet by Salience</t>
  </si>
  <si>
    <t>Top Hashtags in Tweet by Count</t>
  </si>
  <si>
    <t>Top Hashtags in Tweet by Salience</t>
  </si>
  <si>
    <t>Top Words in Tweet by Count</t>
  </si>
  <si>
    <t>out check rivalry between pmunkcardiacctr thepmcf tgwhf find here socialrivals</t>
  </si>
  <si>
    <t>support thepmcf pmcancercentre mburnspmcf roadhockey onewalktoronto theontarioride sponsors timmcclure23 step</t>
  </si>
  <si>
    <t>timmcclure23 support pmcancercentre thepmcf mburnspmcf roadhockey onewalktoronto theontarioride sponsors</t>
  </si>
  <si>
    <t>Top Words in Tweet by Salience</t>
  </si>
  <si>
    <t>timmcclure23 step up longosmarkets scotiabank harryroseninc enbridge many others conquer</t>
  </si>
  <si>
    <t>Top Word Pairs in Tweet by Count</t>
  </si>
  <si>
    <t>check,out  out,rivalry  rivalry,between  between,pmunkcardiacctr  pmunkcardiacctr,thepmcf  thepmcf,tgwhf  tgwhf,find  find,out  out,here  here,socialrivals</t>
  </si>
  <si>
    <t>support,pmcancercentre  pmcancercentre,thepmcf  thepmcf,mburnspmcf  mburnspmcf,roadhockey  roadhockey,onewalktoronto  onewalktoronto,theontarioride  theontarioride,sponsors  timmcclure23,support  sponsors,step  step,up</t>
  </si>
  <si>
    <t>timmcclure23,support  support,pmcancercentre  pmcancercentre,thepmcf  thepmcf,mburnspmcf  mburnspmcf,roadhockey  roadhockey,onewalktoronto  onewalktoronto,theontarioride  theontarioride,sponsors</t>
  </si>
  <si>
    <t>Top Word Pairs in Tweet by Salience</t>
  </si>
  <si>
    <t>timmcclure23,support  sponsors,step  step,up  up,support  support,longosmarkets  longosmarkets,scotiabank  scotiabank,harryroseninc  harryroseninc,enbridge  enbridge,many  many,others</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</si>
  <si>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</si>
  <si>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</si>
  <si>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</si>
  <si>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</si>
  <si>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</si>
  <si>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</si>
  <si>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</si>
  <si>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</si>
  <si>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</si>
  <si>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</si>
  <si>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</si>
  <si>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</si>
  <si>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</si>
  <si>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</si>
  <si>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</si>
  <si>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</si>
  <si>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</si>
  <si>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</si>
  <si>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</si>
  <si>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</si>
  <si>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</si>
  <si>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</si>
  <si>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</si>
  <si>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</si>
  <si>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</si>
  <si>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</si>
  <si>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</si>
  <si>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Top 10 Vertices, Ranked by Betweenness Centrality</t>
  </si>
  <si>
    <t>Count of Tweet Date (UTC)</t>
  </si>
  <si>
    <t>Row Labels</t>
  </si>
  <si>
    <t>Grand Total</t>
  </si>
  <si>
    <t>128, 128, 128</t>
  </si>
  <si>
    <t>G2: support thepmcf pmcancercentre mburnspmcf roadhockey onewalktoronto theontarioride sponsors</t>
  </si>
  <si>
    <t>G3: out</t>
  </si>
  <si>
    <t>Autofill Workbook Results</t>
  </si>
  <si>
    <t>Edge Weight▓2▓2▓0▓True▓Gray▓Red▓▓Edge Weight▓2▓2▓0▓3▓10▓False▓Edge Weight▓2▓2▓0▓35▓12▓False▓▓0▓0▓0▓True▓Black▓Black▓▓Followers▓239▓21498▓0▓162▓1000▓False▓▓0▓0▓0▓0▓0▓False▓▓0▓0▓0▓0▓0▓False▓▓0▓0▓0▓0▓0▓False</t>
  </si>
  <si>
    <t>GraphSource░GraphServerTwitterSearch▓GraphTerm░#thePMCF▓ImportDescription░The graph represents a network of 13 Twitter users whose tweets in the requested range contained "#thePMCF", or who were replied to or mentioned in those tweets.  The network was obtained from the NodeXL Graph Server on Wednesday, 23 January 2019 at 18:46 UTC.
The requested start date was Wednesday, 23 January 2019 at 01:01 UTC and the maximum number of tweets (going backward in time) was 5,000.
The tweets in the network were tweeted over the 41-day, 14-hour, 31-minute period from Saturday, 08 December 2018 at 06:41 UTC to Friday, 18 January 2019 at 21:12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</si>
</sst>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3"/>
      <tableStyleElement type="headerRow" dxfId="382"/>
    </tableStyle>
    <tableStyle name="NodeXL Table" pivot="0" count="1">
      <tableStyleElement type="headerRow" dxfId="38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594546"/>
        <c:axId val="59350915"/>
      </c:barChart>
      <c:catAx>
        <c:axId val="659454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9350915"/>
        <c:crosses val="autoZero"/>
        <c:auto val="1"/>
        <c:lblOffset val="100"/>
        <c:noMultiLvlLbl val="0"/>
      </c:catAx>
      <c:valAx>
        <c:axId val="593509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945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#thePMCF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Series'!$A$26:$A$30</c:f>
              <c:strCache>
                <c:ptCount val="4"/>
                <c:pt idx="0">
                  <c:v>12/8/2018 6:41</c:v>
                </c:pt>
                <c:pt idx="1">
                  <c:v>1/3/2019 15:13</c:v>
                </c:pt>
                <c:pt idx="2">
                  <c:v>1/3/2019 20:33</c:v>
                </c:pt>
                <c:pt idx="3">
                  <c:v>1/18/2019 21:12</c:v>
                </c:pt>
              </c:strCache>
            </c:strRef>
          </c:cat>
          <c:val>
            <c:numRef>
              <c:f>'Time Series'!$B$26:$B$30</c:f>
              <c:numCache>
                <c:formatCode>General</c:formatCode>
                <c:ptCount val="4"/>
                <c:pt idx="0">
                  <c:v>1</c:v>
                </c:pt>
                <c:pt idx="1">
                  <c:v>1</c:v>
                </c:pt>
                <c:pt idx="2">
                  <c:v>1</c:v>
                </c:pt>
                <c:pt idx="3">
                  <c:v>1</c:v>
                </c:pt>
              </c:numCache>
            </c:numRef>
          </c:val>
        </c:ser>
        <c:axId val="23066988"/>
        <c:axId val="6276301"/>
      </c:barChart>
      <c:catAx>
        <c:axId val="23066988"/>
        <c:scaling>
          <c:orientation val="minMax"/>
        </c:scaling>
        <c:axPos val="b"/>
        <c:delete val="0"/>
        <c:numFmt formatCode="General" sourceLinked="1"/>
        <c:majorTickMark val="out"/>
        <c:minorTickMark val="none"/>
        <c:tickLblPos val="nextTo"/>
        <c:crossAx val="6276301"/>
        <c:crosses val="autoZero"/>
        <c:auto val="1"/>
        <c:lblOffset val="100"/>
        <c:noMultiLvlLbl val="0"/>
      </c:catAx>
      <c:valAx>
        <c:axId val="6276301"/>
        <c:scaling>
          <c:orientation val="minMax"/>
        </c:scaling>
        <c:axPos val="l"/>
        <c:majorGridlines/>
        <c:delete val="0"/>
        <c:numFmt formatCode="General" sourceLinked="1"/>
        <c:majorTickMark val="out"/>
        <c:minorTickMark val="none"/>
        <c:tickLblPos val="nextTo"/>
        <c:crossAx val="2306698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4396188"/>
        <c:axId val="42694781"/>
      </c:barChart>
      <c:catAx>
        <c:axId val="6439618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2694781"/>
        <c:crosses val="autoZero"/>
        <c:auto val="1"/>
        <c:lblOffset val="100"/>
        <c:noMultiLvlLbl val="0"/>
      </c:catAx>
      <c:valAx>
        <c:axId val="426947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3961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8708710"/>
        <c:axId val="35725207"/>
      </c:barChart>
      <c:catAx>
        <c:axId val="4870871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5725207"/>
        <c:crosses val="autoZero"/>
        <c:auto val="1"/>
        <c:lblOffset val="100"/>
        <c:noMultiLvlLbl val="0"/>
      </c:catAx>
      <c:valAx>
        <c:axId val="357252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7087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3091408"/>
        <c:axId val="8060625"/>
      </c:barChart>
      <c:catAx>
        <c:axId val="5309140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8060625"/>
        <c:crosses val="autoZero"/>
        <c:auto val="1"/>
        <c:lblOffset val="100"/>
        <c:noMultiLvlLbl val="0"/>
      </c:catAx>
      <c:valAx>
        <c:axId val="80606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0914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436762"/>
        <c:axId val="48930859"/>
      </c:barChart>
      <c:catAx>
        <c:axId val="543676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8930859"/>
        <c:crosses val="autoZero"/>
        <c:auto val="1"/>
        <c:lblOffset val="100"/>
        <c:noMultiLvlLbl val="0"/>
      </c:catAx>
      <c:valAx>
        <c:axId val="489308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367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7724548"/>
        <c:axId val="3976613"/>
      </c:barChart>
      <c:catAx>
        <c:axId val="3772454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976613"/>
        <c:crosses val="autoZero"/>
        <c:auto val="1"/>
        <c:lblOffset val="100"/>
        <c:noMultiLvlLbl val="0"/>
      </c:catAx>
      <c:valAx>
        <c:axId val="39766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7245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5789518"/>
        <c:axId val="53670207"/>
      </c:barChart>
      <c:catAx>
        <c:axId val="3578951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3670207"/>
        <c:crosses val="autoZero"/>
        <c:auto val="1"/>
        <c:lblOffset val="100"/>
        <c:noMultiLvlLbl val="0"/>
      </c:catAx>
      <c:valAx>
        <c:axId val="536702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7895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3269816"/>
        <c:axId val="52319481"/>
      </c:barChart>
      <c:catAx>
        <c:axId val="1326981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2319481"/>
        <c:crosses val="autoZero"/>
        <c:auto val="1"/>
        <c:lblOffset val="100"/>
        <c:noMultiLvlLbl val="0"/>
      </c:catAx>
      <c:valAx>
        <c:axId val="523194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2698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113282"/>
        <c:axId val="10019539"/>
      </c:barChart>
      <c:catAx>
        <c:axId val="1113282"/>
        <c:scaling>
          <c:orientation val="minMax"/>
        </c:scaling>
        <c:axPos val="b"/>
        <c:delete val="1"/>
        <c:majorTickMark val="out"/>
        <c:minorTickMark val="none"/>
        <c:tickLblPos val="none"/>
        <c:crossAx val="10019539"/>
        <c:crosses val="autoZero"/>
        <c:auto val="1"/>
        <c:lblOffset val="100"/>
        <c:noMultiLvlLbl val="0"/>
      </c:catAx>
      <c:valAx>
        <c:axId val="10019539"/>
        <c:scaling>
          <c:orientation val="minMax"/>
        </c:scaling>
        <c:axPos val="l"/>
        <c:delete val="1"/>
        <c:majorTickMark val="out"/>
        <c:minorTickMark val="none"/>
        <c:tickLblPos val="none"/>
        <c:crossAx val="111328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 refreshedBy="Marc Smith" refreshedVersion="5">
  <cacheSource type="worksheet">
    <worksheetSource ref="A2:BL6"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
        <s v="thepmcf tgwhf socialrivals"/>
        <s v="conquer together thepmcf"/>
        <m/>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4">
        <d v="2018-12-08T06:41:01.000"/>
        <d v="2019-01-03T15:13:01.000"/>
        <d v="2019-01-03T20:33:33.000"/>
        <d v="2019-01-18T21:12:06.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
  <r>
    <s v="socialrivals"/>
    <s v="pmunkcardiacctr"/>
    <m/>
    <m/>
    <m/>
    <m/>
    <m/>
    <m/>
    <m/>
    <m/>
    <s v="No"/>
    <n v="3"/>
    <m/>
    <m/>
    <x v="0"/>
    <d v="2018-12-08T06:41:01.000"/>
    <s v="Check out this Rivalry between @PMunkCardiacCtr #thePMCF #tgwhf  Find out here: https://t.co/tzfxYb5xWa #socialrivals"/>
    <s v="http://www.socialrivals.com/"/>
    <s v="socialrivals.com"/>
    <x v="0"/>
    <m/>
    <s v="http://pbs.twimg.com/profile_images/495235732819034112/3k-ynFVE_normal.png"/>
    <x v="0"/>
    <s v="https://twitter.com/#!/socialrivals/status/1071293551714205696"/>
    <m/>
    <m/>
    <s v="1071293551714205696"/>
    <m/>
    <b v="0"/>
    <n v="0"/>
    <s v=""/>
    <b v="0"/>
    <s v="en"/>
    <m/>
    <s v=""/>
    <b v="0"/>
    <n v="0"/>
    <s v=""/>
    <s v="SocialRivals"/>
    <b v="0"/>
    <s v="1071293551714205696"/>
    <s v="Tweet"/>
    <n v="0"/>
    <n v="0"/>
    <m/>
    <m/>
    <m/>
    <m/>
    <m/>
    <m/>
    <m/>
    <m/>
    <n v="1"/>
    <s v="3"/>
    <s v="3"/>
    <n v="0"/>
    <n v="0"/>
    <n v="1"/>
    <n v="8.333333333333334"/>
    <n v="0"/>
    <n v="0"/>
    <n v="11"/>
    <n v="91.66666666666667"/>
    <n v="12"/>
  </r>
  <r>
    <s v="timmcclure23"/>
    <s v="enbridge"/>
    <m/>
    <m/>
    <m/>
    <m/>
    <m/>
    <m/>
    <m/>
    <m/>
    <s v="No"/>
    <n v="4"/>
    <m/>
    <m/>
    <x v="0"/>
    <d v="2019-01-03T15:13:01.000"/>
    <s v="THIS is why we support @pmcancercentre @thePMCF @MburnsPMCF @RoadHockey @OneWalkToronto @TheOntarioRide and the sponsors that step up to support them like @LongosMarkets @scotiabank @harryroseninc @Enbridge and so many others! #conquer #together #ThePMCF https://t.co/6r5NK4BC3T"/>
    <s v="https://twitter.com/thepmcf/status/1080841215262711808"/>
    <s v="twitter.com"/>
    <x v="1"/>
    <m/>
    <s v="http://pbs.twimg.com/profile_images/675080091035172864/HZ5U7SeD_normal.jpg"/>
    <x v="1"/>
    <s v="https://twitter.com/#!/timmcclure23/status/1080844486710906880"/>
    <m/>
    <m/>
    <s v="1080844486710906880"/>
    <m/>
    <b v="0"/>
    <n v="1"/>
    <s v=""/>
    <b v="1"/>
    <s v="en"/>
    <m/>
    <s v="1080841215262711808"/>
    <b v="0"/>
    <n v="1"/>
    <s v=""/>
    <s v="Twitter for iPhone"/>
    <b v="0"/>
    <s v="1080844486710906880"/>
    <s v="Tweet"/>
    <n v="0"/>
    <n v="0"/>
    <s v="-79.810961,43.309929 _x000a_-79.479201,43.309929 _x000a_-79.479201,43.5264522 _x000a_-79.810961,43.5264522"/>
    <s v="Canada"/>
    <s v="CA"/>
    <s v="Oakville, Ontario"/>
    <s v="61ecf520fef6ce72"/>
    <s v="Oakville"/>
    <s v="city"/>
    <s v="https://api.twitter.com/1.1/geo/id/61ecf520fef6ce72.json"/>
    <n v="1"/>
    <s v="2"/>
    <s v="2"/>
    <m/>
    <m/>
    <m/>
    <m/>
    <m/>
    <m/>
    <m/>
    <m/>
    <m/>
  </r>
  <r>
    <s v="timmcclure23"/>
    <s v="theontarioride"/>
    <m/>
    <m/>
    <m/>
    <m/>
    <m/>
    <m/>
    <m/>
    <m/>
    <s v="No"/>
    <n v="9"/>
    <m/>
    <m/>
    <x v="0"/>
    <d v="2019-01-03T20:33:33.000"/>
    <s v="RT @TimMcClure23: THIS is why we support @pmcancercentre @thePMCF @MburnsPMCF @RoadHockey @OneWalkToronto @TheOntarioRide and the sponsors…"/>
    <m/>
    <m/>
    <x v="2"/>
    <m/>
    <s v="http://pbs.twimg.com/profile_images/675080091035172864/HZ5U7SeD_normal.jpg"/>
    <x v="2"/>
    <s v="https://twitter.com/#!/timmcclure23/status/1080925150223183874"/>
    <m/>
    <m/>
    <s v="1080925150223183874"/>
    <m/>
    <b v="0"/>
    <n v="0"/>
    <s v=""/>
    <b v="1"/>
    <s v="en"/>
    <m/>
    <s v="1080841215262711808"/>
    <b v="0"/>
    <n v="1"/>
    <s v="1080844486710906880"/>
    <s v="Twitter for iPhone"/>
    <b v="0"/>
    <s v="1080844486710906880"/>
    <s v="Tweet"/>
    <n v="0"/>
    <n v="0"/>
    <m/>
    <m/>
    <m/>
    <m/>
    <m/>
    <m/>
    <m/>
    <m/>
    <n v="2"/>
    <s v="2"/>
    <s v="1"/>
    <m/>
    <m/>
    <m/>
    <m/>
    <m/>
    <m/>
    <m/>
    <m/>
    <m/>
  </r>
  <r>
    <s v="onewalktoronto"/>
    <s v="theontarioride"/>
    <m/>
    <m/>
    <m/>
    <m/>
    <m/>
    <m/>
    <m/>
    <m/>
    <s v="No"/>
    <n v="10"/>
    <m/>
    <m/>
    <x v="0"/>
    <d v="2019-01-18T21:12:06.000"/>
    <s v="RT @TimMcClure23: THIS is why we support @pmcancercentre @thePMCF @MburnsPMCF @RoadHockey @OneWalkToronto @TheOntarioRide and the sponsors…"/>
    <m/>
    <m/>
    <x v="2"/>
    <m/>
    <s v="http://pbs.twimg.com/profile_images/697284678760292353/bTd3nDOn_normal.png"/>
    <x v="3"/>
    <s v="https://twitter.com/#!/onewalktoronto/status/1086370671213641728"/>
    <m/>
    <m/>
    <s v="1086370671213641728"/>
    <m/>
    <b v="0"/>
    <n v="0"/>
    <s v=""/>
    <b v="1"/>
    <s v="en"/>
    <m/>
    <s v="1080841215262711808"/>
    <b v="0"/>
    <n v="2"/>
    <s v="1080844486710906880"/>
    <s v="Twitter for iPhone"/>
    <b v="0"/>
    <s v="1080844486710906880"/>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0"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5">
        <item x="0"/>
        <item x="1"/>
        <item x="2"/>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5">
    <i>
      <x/>
    </i>
    <i>
      <x v="1"/>
    </i>
    <i>
      <x v="2"/>
    </i>
    <i>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3">
        <i x="1" s="1"/>
        <i x="0"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25" totalsRowShown="0" headerRowDxfId="380" dataDxfId="379">
  <autoFilter ref="A2:BL25"/>
  <tableColumns count="64">
    <tableColumn id="1" name="Vertex 1" dataDxfId="378"/>
    <tableColumn id="2" name="Vertex 2" dataDxfId="377"/>
    <tableColumn id="3" name="Color" dataDxfId="376"/>
    <tableColumn id="4" name="Width" dataDxfId="375"/>
    <tableColumn id="11" name="Style" dataDxfId="374"/>
    <tableColumn id="5" name="Opacity" dataDxfId="373"/>
    <tableColumn id="6" name="Visibility" dataDxfId="372"/>
    <tableColumn id="10" name="Label" dataDxfId="371"/>
    <tableColumn id="12" name="Label Text Color" dataDxfId="370"/>
    <tableColumn id="13" name="Label Font Size" dataDxfId="369"/>
    <tableColumn id="14" name="Reciprocated?" dataDxfId="94"/>
    <tableColumn id="7" name="ID" dataDxfId="368"/>
    <tableColumn id="9" name="Dynamic Filter" dataDxfId="367"/>
    <tableColumn id="8" name="Add Your Own Columns Here" dataDxfId="366"/>
    <tableColumn id="15" name="Relationship" dataDxfId="365"/>
    <tableColumn id="16" name="Relationship Date (UTC)" dataDxfId="364"/>
    <tableColumn id="17" name="Tweet" dataDxfId="363"/>
    <tableColumn id="18" name="URLs in Tweet" dataDxfId="362"/>
    <tableColumn id="19" name="Domains in Tweet" dataDxfId="361"/>
    <tableColumn id="20" name="Hashtags in Tweet" dataDxfId="360"/>
    <tableColumn id="21" name="Media in Tweet" dataDxfId="359"/>
    <tableColumn id="22" name="Tweet Image File" dataDxfId="358"/>
    <tableColumn id="23" name="Tweet Date (UTC)" dataDxfId="357"/>
    <tableColumn id="24" name="Twitter Page for Tweet" dataDxfId="356"/>
    <tableColumn id="25" name="Latitude" dataDxfId="355"/>
    <tableColumn id="26" name="Longitude" dataDxfId="354"/>
    <tableColumn id="27" name="Imported ID" dataDxfId="353"/>
    <tableColumn id="28" name="In-Reply-To Tweet ID" dataDxfId="352"/>
    <tableColumn id="29" name="Favorited" dataDxfId="351"/>
    <tableColumn id="30" name="Favorite Count" dataDxfId="350"/>
    <tableColumn id="31" name="In-Reply-To User ID" dataDxfId="349"/>
    <tableColumn id="32" name="Is Quote Status" dataDxfId="348"/>
    <tableColumn id="33" name="Language" dataDxfId="347"/>
    <tableColumn id="34" name="Possibly Sensitive" dataDxfId="346"/>
    <tableColumn id="35" name="Quoted Status ID" dataDxfId="345"/>
    <tableColumn id="36" name="Retweeted" dataDxfId="344"/>
    <tableColumn id="37" name="Retweet Count" dataDxfId="343"/>
    <tableColumn id="38" name="Retweet ID" dataDxfId="342"/>
    <tableColumn id="39" name="Source" dataDxfId="341"/>
    <tableColumn id="40" name="Truncated" dataDxfId="340"/>
    <tableColumn id="41" name="Unified Twitter ID" dataDxfId="339"/>
    <tableColumn id="42" name="Imported Tweet Type" dataDxfId="338"/>
    <tableColumn id="43" name="Added By Extended Analysis" dataDxfId="337"/>
    <tableColumn id="44" name="Corrected By Extended Analysis" dataDxfId="336"/>
    <tableColumn id="45" name="Place Bounding Box" dataDxfId="335"/>
    <tableColumn id="46" name="Place Country" dataDxfId="334"/>
    <tableColumn id="47" name="Place Country Code" dataDxfId="333"/>
    <tableColumn id="48" name="Place Full Name" dataDxfId="332"/>
    <tableColumn id="49" name="Place ID" dataDxfId="331"/>
    <tableColumn id="50" name="Place Name" dataDxfId="330"/>
    <tableColumn id="51" name="Place Type" dataDxfId="329"/>
    <tableColumn id="52" name="Place URL" dataDxfId="328"/>
    <tableColumn id="53" name="Edge Weight"/>
    <tableColumn id="54" name="Vertex 1 Group" dataDxfId="251">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6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7" totalsRowShown="0" headerRowDxfId="250" dataDxfId="249">
  <autoFilter ref="A2:C7"/>
  <tableColumns count="3">
    <tableColumn id="1" name="Group 1" dataDxfId="248"/>
    <tableColumn id="2" name="Group 2" dataDxfId="247"/>
    <tableColumn id="3" name="Edges" dataDxfId="246"/>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H3" totalsRowShown="0" headerRowDxfId="243" dataDxfId="242">
  <autoFilter ref="A1:H3"/>
  <tableColumns count="8">
    <tableColumn id="1" name="Top URLs in Tweet in Entire Graph" dataDxfId="241"/>
    <tableColumn id="2" name="Entire Graph Count" dataDxfId="240"/>
    <tableColumn id="3" name="Top URLs in Tweet in G1" dataDxfId="239"/>
    <tableColumn id="4" name="G1 Count" dataDxfId="238"/>
    <tableColumn id="5" name="Top URLs in Tweet in G2" dataDxfId="237"/>
    <tableColumn id="6" name="G2 Count" dataDxfId="236"/>
    <tableColumn id="7" name="Top URLs in Tweet in G3" dataDxfId="235"/>
    <tableColumn id="8" name="G3 Count" dataDxfId="234"/>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6:H8" totalsRowShown="0" headerRowDxfId="233" dataDxfId="232">
  <autoFilter ref="A6:H8"/>
  <tableColumns count="8">
    <tableColumn id="1" name="Top Domains in Tweet in Entire Graph" dataDxfId="231"/>
    <tableColumn id="2" name="Entire Graph Count" dataDxfId="230"/>
    <tableColumn id="3" name="Top Domains in Tweet in G1" dataDxfId="229"/>
    <tableColumn id="4" name="G1 Count" dataDxfId="228"/>
    <tableColumn id="5" name="Top Domains in Tweet in G2" dataDxfId="227"/>
    <tableColumn id="6" name="G2 Count" dataDxfId="226"/>
    <tableColumn id="7" name="Top Domains in Tweet in G3" dataDxfId="225"/>
    <tableColumn id="8" name="G3 Count" dataDxfId="224"/>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11:H16" totalsRowShown="0" headerRowDxfId="223" dataDxfId="222">
  <autoFilter ref="A11:H16"/>
  <tableColumns count="8">
    <tableColumn id="1" name="Top Hashtags in Tweet in Entire Graph" dataDxfId="221"/>
    <tableColumn id="2" name="Entire Graph Count" dataDxfId="220"/>
    <tableColumn id="3" name="Top Hashtags in Tweet in G1" dataDxfId="219"/>
    <tableColumn id="4" name="G1 Count" dataDxfId="218"/>
    <tableColumn id="5" name="Top Hashtags in Tweet in G2" dataDxfId="217"/>
    <tableColumn id="6" name="G2 Count" dataDxfId="216"/>
    <tableColumn id="7" name="Top Hashtags in Tweet in G3" dataDxfId="215"/>
    <tableColumn id="8" name="G3 Count" dataDxfId="21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19:H29" totalsRowShown="0" headerRowDxfId="212" dataDxfId="211">
  <autoFilter ref="A19:H29"/>
  <tableColumns count="8">
    <tableColumn id="1" name="Top Words in Tweet in Entire Graph" dataDxfId="210"/>
    <tableColumn id="2" name="Entire Graph Count" dataDxfId="209"/>
    <tableColumn id="3" name="Top Words in Tweet in G1" dataDxfId="208"/>
    <tableColumn id="4" name="G1 Count" dataDxfId="207"/>
    <tableColumn id="5" name="Top Words in Tweet in G2" dataDxfId="206"/>
    <tableColumn id="6" name="G2 Count" dataDxfId="205"/>
    <tableColumn id="7" name="Top Words in Tweet in G3" dataDxfId="204"/>
    <tableColumn id="8" name="G3 Count" dataDxfId="203"/>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32:H40" totalsRowShown="0" headerRowDxfId="201" dataDxfId="200">
  <autoFilter ref="A32:H40"/>
  <tableColumns count="8">
    <tableColumn id="1" name="Top Word Pairs in Tweet in Entire Graph" dataDxfId="199"/>
    <tableColumn id="2" name="Entire Graph Count" dataDxfId="198"/>
    <tableColumn id="3" name="Top Word Pairs in Tweet in G1" dataDxfId="197"/>
    <tableColumn id="4" name="G1 Count" dataDxfId="196"/>
    <tableColumn id="5" name="Top Word Pairs in Tweet in G2" dataDxfId="195"/>
    <tableColumn id="6" name="G2 Count" dataDxfId="194"/>
    <tableColumn id="7" name="Top Word Pairs in Tweet in G3" dataDxfId="193"/>
    <tableColumn id="8" name="G3 Count" dataDxfId="192"/>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43:H44" totalsRowShown="0" headerRowDxfId="190" dataDxfId="189">
  <autoFilter ref="A43:H44"/>
  <tableColumns count="8">
    <tableColumn id="1" name="Top Replied-To in Entire Graph" dataDxfId="188"/>
    <tableColumn id="2" name="Entire Graph Count" dataDxfId="184"/>
    <tableColumn id="3" name="Top Replied-To in G1" dataDxfId="183"/>
    <tableColumn id="4" name="G1 Count" dataDxfId="180"/>
    <tableColumn id="5" name="Top Replied-To in G2" dataDxfId="179"/>
    <tableColumn id="6" name="G2 Count" dataDxfId="176"/>
    <tableColumn id="7" name="Top Replied-To in G3" dataDxfId="175"/>
    <tableColumn id="8" name="G3 Count" dataDxfId="174"/>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46:H56" totalsRowShown="0" headerRowDxfId="187" dataDxfId="186">
  <autoFilter ref="A46:H56"/>
  <tableColumns count="8">
    <tableColumn id="1" name="Top Mentioned in Entire Graph" dataDxfId="185"/>
    <tableColumn id="2" name="Entire Graph Count" dataDxfId="182"/>
    <tableColumn id="3" name="Top Mentioned in G1" dataDxfId="181"/>
    <tableColumn id="4" name="G1 Count" dataDxfId="178"/>
    <tableColumn id="5" name="Top Mentioned in G2" dataDxfId="177"/>
    <tableColumn id="6" name="G2 Count" dataDxfId="173"/>
    <tableColumn id="7" name="Top Mentioned in G3" dataDxfId="172"/>
    <tableColumn id="8" name="G3 Count" dataDxfId="171"/>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59:H69" totalsRowShown="0" headerRowDxfId="168" dataDxfId="167">
  <autoFilter ref="A59:H69"/>
  <tableColumns count="8">
    <tableColumn id="1" name="Top Tweeters in Entire Graph" dataDxfId="166"/>
    <tableColumn id="2" name="Entire Graph Count" dataDxfId="165"/>
    <tableColumn id="3" name="Top Tweeters in G1" dataDxfId="164"/>
    <tableColumn id="4" name="G1 Count" dataDxfId="163"/>
    <tableColumn id="5" name="Top Tweeters in G2" dataDxfId="162"/>
    <tableColumn id="6" name="G2 Count" dataDxfId="161"/>
    <tableColumn id="7" name="Top Tweeters in G3" dataDxfId="160"/>
    <tableColumn id="8" name="G3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5" totalsRowShown="0" headerRowDxfId="327" dataDxfId="326">
  <autoFilter ref="A2:BS15"/>
  <tableColumns count="71">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308"/>
    <tableColumn id="28" name="Dynamic Filter" dataDxfId="307"/>
    <tableColumn id="17" name="Add Your Own Columns Here" dataDxfId="306"/>
    <tableColumn id="30" name="Name" dataDxfId="305"/>
    <tableColumn id="31" name="Followed" dataDxfId="304"/>
    <tableColumn id="32" name="Followers" dataDxfId="303"/>
    <tableColumn id="33" name="Tweets" dataDxfId="302"/>
    <tableColumn id="34" name="Favorites" dataDxfId="301"/>
    <tableColumn id="35" name="Time Zone UTC Offset (Seconds)" dataDxfId="300"/>
    <tableColumn id="36" name="Description" dataDxfId="299"/>
    <tableColumn id="37" name="Location" dataDxfId="298"/>
    <tableColumn id="38" name="Web" dataDxfId="297"/>
    <tableColumn id="39" name="Time Zone" dataDxfId="296"/>
    <tableColumn id="40" name="Joined Twitter Date (UTC)" dataDxfId="295"/>
    <tableColumn id="41" name="Profile Banner Url" dataDxfId="294"/>
    <tableColumn id="42" name="Default Profile" dataDxfId="293"/>
    <tableColumn id="43" name="Default Profile Image" dataDxfId="292"/>
    <tableColumn id="44" name="Geo Enabled" dataDxfId="291"/>
    <tableColumn id="45" name="Language" dataDxfId="290"/>
    <tableColumn id="46" name="Listed Count" dataDxfId="289"/>
    <tableColumn id="47" name="Profile Background Image Url" dataDxfId="288"/>
    <tableColumn id="48" name="Verified" dataDxfId="287"/>
    <tableColumn id="49" name="Custom Menu Item Text" dataDxfId="286"/>
    <tableColumn id="50" name="Custom Menu Item Action" dataDxfId="285"/>
    <tableColumn id="51" name="Tweeted Search Term?" dataDxfId="252"/>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25" totalsRowShown="0" headerRowDxfId="147" dataDxfId="146">
  <autoFilter ref="A1:G25"/>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6" totalsRowShown="0" headerRowDxfId="138" dataDxfId="137">
  <autoFilter ref="A1:L16"/>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6" totalsRowShown="0" headerRowDxfId="64" dataDxfId="63">
  <autoFilter ref="A2:BL6"/>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84">
  <autoFilter ref="A2:AO5"/>
  <tableColumns count="41">
    <tableColumn id="1" name="Group" dataDxfId="259"/>
    <tableColumn id="2" name="Vertex Color" dataDxfId="258"/>
    <tableColumn id="3" name="Vertex Shape" dataDxfId="256"/>
    <tableColumn id="22" name="Visibility" dataDxfId="257"/>
    <tableColumn id="4" name="Collapsed?"/>
    <tableColumn id="18" name="Label" dataDxfId="283"/>
    <tableColumn id="20" name="Collapsed X"/>
    <tableColumn id="21" name="Collapsed Y"/>
    <tableColumn id="6" name="ID" dataDxfId="282"/>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13"/>
    <tableColumn id="27" name="Top Hashtags in Tweet" dataDxfId="202"/>
    <tableColumn id="28" name="Top Words in Tweet" dataDxfId="191"/>
    <tableColumn id="29" name="Top Word Pairs in Tweet" dataDxfId="170"/>
    <tableColumn id="30" name="Top Replied-To in Tweet" dataDxfId="169"/>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 totalsRowShown="0" headerRowDxfId="281" dataDxfId="280">
  <autoFilter ref="A1:C14"/>
  <tableColumns count="3">
    <tableColumn id="1" name="Group" dataDxfId="255"/>
    <tableColumn id="2" name="Vertex" dataDxfId="254"/>
    <tableColumn id="3" name="Vertex ID" dataDxfId="25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0" totalsRowShown="0">
  <autoFilter ref="A1:B30"/>
  <tableColumns count="2">
    <tableColumn id="1" name="Graph Metric" dataDxfId="245"/>
    <tableColumn id="2" name="Value" dataDxfId="24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79"/>
    <tableColumn id="2" name="Degree Frequency" dataDxfId="278">
      <calculatedColumnFormula>COUNTIF(Vertices[Degree], "&gt;= " &amp; D2) - COUNTIF(Vertices[Degree], "&gt;=" &amp; D3)</calculatedColumnFormula>
    </tableColumn>
    <tableColumn id="3" name="In-Degree Bin" dataDxfId="277"/>
    <tableColumn id="4" name="In-Degree Frequency" dataDxfId="276">
      <calculatedColumnFormula>COUNTIF(Vertices[In-Degree], "&gt;= " &amp; F2) - COUNTIF(Vertices[In-Degree], "&gt;=" &amp; F3)</calculatedColumnFormula>
    </tableColumn>
    <tableColumn id="5" name="Out-Degree Bin" dataDxfId="275"/>
    <tableColumn id="6" name="Out-Degree Frequency" dataDxfId="274">
      <calculatedColumnFormula>COUNTIF(Vertices[Out-Degree], "&gt;= " &amp; H2) - COUNTIF(Vertices[Out-Degree], "&gt;=" &amp; H3)</calculatedColumnFormula>
    </tableColumn>
    <tableColumn id="7" name="Betweenness Centrality Bin" dataDxfId="273"/>
    <tableColumn id="8" name="Betweenness Centrality Frequency" dataDxfId="272">
      <calculatedColumnFormula>COUNTIF(Vertices[Betweenness Centrality], "&gt;= " &amp; J2) - COUNTIF(Vertices[Betweenness Centrality], "&gt;=" &amp; J3)</calculatedColumnFormula>
    </tableColumn>
    <tableColumn id="9" name="Closeness Centrality Bin" dataDxfId="271"/>
    <tableColumn id="10" name="Closeness Centrality Frequency" dataDxfId="270">
      <calculatedColumnFormula>COUNTIF(Vertices[Closeness Centrality], "&gt;= " &amp; L2) - COUNTIF(Vertices[Closeness Centrality], "&gt;=" &amp; L3)</calculatedColumnFormula>
    </tableColumn>
    <tableColumn id="11" name="Eigenvector Centrality Bin" dataDxfId="269"/>
    <tableColumn id="12" name="Eigenvector Centrality Frequency" dataDxfId="268">
      <calculatedColumnFormula>COUNTIF(Vertices[Eigenvector Centrality], "&gt;= " &amp; N2) - COUNTIF(Vertices[Eigenvector Centrality], "&gt;=" &amp; N3)</calculatedColumnFormula>
    </tableColumn>
    <tableColumn id="18" name="PageRank Bin" dataDxfId="267"/>
    <tableColumn id="17" name="PageRank Frequency" dataDxfId="266">
      <calculatedColumnFormula>COUNTIF(Vertices[Eigenvector Centrality], "&gt;= " &amp; P2) - COUNTIF(Vertices[Eigenvector Centrality], "&gt;=" &amp; P3)</calculatedColumnFormula>
    </tableColumn>
    <tableColumn id="13" name="Clustering Coefficient Bin" dataDxfId="265"/>
    <tableColumn id="14" name="Clustering Coefficient Frequency" dataDxfId="264">
      <calculatedColumnFormula>COUNTIF(Vertices[Clustering Coefficient], "&gt;= " &amp; R2) - COUNTIF(Vertices[Clustering Coefficient], "&gt;=" &amp; R3)</calculatedColumnFormula>
    </tableColumn>
    <tableColumn id="15" name="Dynamic Filter Bin" dataDxfId="263"/>
    <tableColumn id="16" name="Dynamic Filter Frequency" dataDxfId="26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1">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ocialrivals.com/" TargetMode="External" /><Relationship Id="rId2" Type="http://schemas.openxmlformats.org/officeDocument/2006/relationships/hyperlink" Target="https://twitter.com/thepmcf/status/1080841215262711808" TargetMode="External" /><Relationship Id="rId3" Type="http://schemas.openxmlformats.org/officeDocument/2006/relationships/hyperlink" Target="https://twitter.com/thepmcf/status/1080841215262711808" TargetMode="External" /><Relationship Id="rId4" Type="http://schemas.openxmlformats.org/officeDocument/2006/relationships/hyperlink" Target="https://twitter.com/thepmcf/status/1080841215262711808" TargetMode="External" /><Relationship Id="rId5" Type="http://schemas.openxmlformats.org/officeDocument/2006/relationships/hyperlink" Target="https://twitter.com/thepmcf/status/1080841215262711808" TargetMode="External" /><Relationship Id="rId6" Type="http://schemas.openxmlformats.org/officeDocument/2006/relationships/hyperlink" Target="https://twitter.com/thepmcf/status/1080841215262711808" TargetMode="External" /><Relationship Id="rId7" Type="http://schemas.openxmlformats.org/officeDocument/2006/relationships/hyperlink" Target="https://twitter.com/thepmcf/status/1080841215262711808" TargetMode="External" /><Relationship Id="rId8" Type="http://schemas.openxmlformats.org/officeDocument/2006/relationships/hyperlink" Target="https://twitter.com/thepmcf/status/1080841215262711808" TargetMode="External" /><Relationship Id="rId9" Type="http://schemas.openxmlformats.org/officeDocument/2006/relationships/hyperlink" Target="https://twitter.com/thepmcf/status/1080841215262711808" TargetMode="External" /><Relationship Id="rId10" Type="http://schemas.openxmlformats.org/officeDocument/2006/relationships/hyperlink" Target="https://twitter.com/thepmcf/status/1080841215262711808" TargetMode="External" /><Relationship Id="rId11" Type="http://schemas.openxmlformats.org/officeDocument/2006/relationships/hyperlink" Target="https://twitter.com/thepmcf/status/1080841215262711808" TargetMode="External" /><Relationship Id="rId12" Type="http://schemas.openxmlformats.org/officeDocument/2006/relationships/hyperlink" Target="http://pbs.twimg.com/profile_images/495235732819034112/3k-ynFVE_normal.png" TargetMode="External" /><Relationship Id="rId13" Type="http://schemas.openxmlformats.org/officeDocument/2006/relationships/hyperlink" Target="http://pbs.twimg.com/profile_images/675080091035172864/HZ5U7SeD_normal.jpg" TargetMode="External" /><Relationship Id="rId14" Type="http://schemas.openxmlformats.org/officeDocument/2006/relationships/hyperlink" Target="http://pbs.twimg.com/profile_images/675080091035172864/HZ5U7SeD_normal.jpg" TargetMode="External" /><Relationship Id="rId15" Type="http://schemas.openxmlformats.org/officeDocument/2006/relationships/hyperlink" Target="http://pbs.twimg.com/profile_images/675080091035172864/HZ5U7SeD_normal.jpg" TargetMode="External" /><Relationship Id="rId16" Type="http://schemas.openxmlformats.org/officeDocument/2006/relationships/hyperlink" Target="http://pbs.twimg.com/profile_images/675080091035172864/HZ5U7SeD_normal.jpg" TargetMode="External" /><Relationship Id="rId17" Type="http://schemas.openxmlformats.org/officeDocument/2006/relationships/hyperlink" Target="http://pbs.twimg.com/profile_images/675080091035172864/HZ5U7SeD_normal.jpg" TargetMode="External" /><Relationship Id="rId18" Type="http://schemas.openxmlformats.org/officeDocument/2006/relationships/hyperlink" Target="http://pbs.twimg.com/profile_images/675080091035172864/HZ5U7SeD_normal.jpg" TargetMode="External" /><Relationship Id="rId19" Type="http://schemas.openxmlformats.org/officeDocument/2006/relationships/hyperlink" Target="http://pbs.twimg.com/profile_images/697284678760292353/bTd3nDOn_normal.png" TargetMode="External" /><Relationship Id="rId20" Type="http://schemas.openxmlformats.org/officeDocument/2006/relationships/hyperlink" Target="http://pbs.twimg.com/profile_images/675080091035172864/HZ5U7SeD_normal.jpg" TargetMode="External" /><Relationship Id="rId21" Type="http://schemas.openxmlformats.org/officeDocument/2006/relationships/hyperlink" Target="http://pbs.twimg.com/profile_images/675080091035172864/HZ5U7SeD_normal.jpg" TargetMode="External" /><Relationship Id="rId22" Type="http://schemas.openxmlformats.org/officeDocument/2006/relationships/hyperlink" Target="http://pbs.twimg.com/profile_images/697284678760292353/bTd3nDOn_normal.png" TargetMode="External" /><Relationship Id="rId23" Type="http://schemas.openxmlformats.org/officeDocument/2006/relationships/hyperlink" Target="http://pbs.twimg.com/profile_images/675080091035172864/HZ5U7SeD_normal.jpg" TargetMode="External" /><Relationship Id="rId24" Type="http://schemas.openxmlformats.org/officeDocument/2006/relationships/hyperlink" Target="http://pbs.twimg.com/profile_images/675080091035172864/HZ5U7SeD_normal.jpg" TargetMode="External" /><Relationship Id="rId25" Type="http://schemas.openxmlformats.org/officeDocument/2006/relationships/hyperlink" Target="http://pbs.twimg.com/profile_images/697284678760292353/bTd3nDOn_normal.png" TargetMode="External" /><Relationship Id="rId26" Type="http://schemas.openxmlformats.org/officeDocument/2006/relationships/hyperlink" Target="http://pbs.twimg.com/profile_images/675080091035172864/HZ5U7SeD_normal.jpg" TargetMode="External" /><Relationship Id="rId27" Type="http://schemas.openxmlformats.org/officeDocument/2006/relationships/hyperlink" Target="http://pbs.twimg.com/profile_images/675080091035172864/HZ5U7SeD_normal.jpg" TargetMode="External" /><Relationship Id="rId28" Type="http://schemas.openxmlformats.org/officeDocument/2006/relationships/hyperlink" Target="http://pbs.twimg.com/profile_images/697284678760292353/bTd3nDOn_normal.png" TargetMode="External" /><Relationship Id="rId29" Type="http://schemas.openxmlformats.org/officeDocument/2006/relationships/hyperlink" Target="http://pbs.twimg.com/profile_images/675080091035172864/HZ5U7SeD_normal.jpg" TargetMode="External" /><Relationship Id="rId30" Type="http://schemas.openxmlformats.org/officeDocument/2006/relationships/hyperlink" Target="http://pbs.twimg.com/profile_images/675080091035172864/HZ5U7SeD_normal.jpg" TargetMode="External" /><Relationship Id="rId31" Type="http://schemas.openxmlformats.org/officeDocument/2006/relationships/hyperlink" Target="http://pbs.twimg.com/profile_images/697284678760292353/bTd3nDOn_normal.png" TargetMode="External" /><Relationship Id="rId32" Type="http://schemas.openxmlformats.org/officeDocument/2006/relationships/hyperlink" Target="http://pbs.twimg.com/profile_images/675080091035172864/HZ5U7SeD_normal.jpg" TargetMode="External" /><Relationship Id="rId33" Type="http://schemas.openxmlformats.org/officeDocument/2006/relationships/hyperlink" Target="http://pbs.twimg.com/profile_images/675080091035172864/HZ5U7SeD_normal.jpg" TargetMode="External" /><Relationship Id="rId34" Type="http://schemas.openxmlformats.org/officeDocument/2006/relationships/hyperlink" Target="http://pbs.twimg.com/profile_images/697284678760292353/bTd3nDOn_normal.png" TargetMode="External" /><Relationship Id="rId35" Type="http://schemas.openxmlformats.org/officeDocument/2006/relationships/hyperlink" Target="https://twitter.com/#!/socialrivals/status/1071293551714205696" TargetMode="External" /><Relationship Id="rId36" Type="http://schemas.openxmlformats.org/officeDocument/2006/relationships/hyperlink" Target="https://twitter.com/#!/timmcclure23/status/1080844486710906880" TargetMode="External" /><Relationship Id="rId37" Type="http://schemas.openxmlformats.org/officeDocument/2006/relationships/hyperlink" Target="https://twitter.com/#!/timmcclure23/status/1080844486710906880" TargetMode="External" /><Relationship Id="rId38" Type="http://schemas.openxmlformats.org/officeDocument/2006/relationships/hyperlink" Target="https://twitter.com/#!/timmcclure23/status/1080844486710906880" TargetMode="External" /><Relationship Id="rId39" Type="http://schemas.openxmlformats.org/officeDocument/2006/relationships/hyperlink" Target="https://twitter.com/#!/timmcclure23/status/1080844486710906880" TargetMode="External" /><Relationship Id="rId40" Type="http://schemas.openxmlformats.org/officeDocument/2006/relationships/hyperlink" Target="https://twitter.com/#!/timmcclure23/status/1080844486710906880" TargetMode="External" /><Relationship Id="rId41" Type="http://schemas.openxmlformats.org/officeDocument/2006/relationships/hyperlink" Target="https://twitter.com/#!/timmcclure23/status/1080925150223183874" TargetMode="External" /><Relationship Id="rId42" Type="http://schemas.openxmlformats.org/officeDocument/2006/relationships/hyperlink" Target="https://twitter.com/#!/onewalktoronto/status/1086370671213641728" TargetMode="External" /><Relationship Id="rId43" Type="http://schemas.openxmlformats.org/officeDocument/2006/relationships/hyperlink" Target="https://twitter.com/#!/timmcclure23/status/1080844486710906880" TargetMode="External" /><Relationship Id="rId44" Type="http://schemas.openxmlformats.org/officeDocument/2006/relationships/hyperlink" Target="https://twitter.com/#!/timmcclure23/status/1080925150223183874" TargetMode="External" /><Relationship Id="rId45" Type="http://schemas.openxmlformats.org/officeDocument/2006/relationships/hyperlink" Target="https://twitter.com/#!/onewalktoronto/status/1086370671213641728" TargetMode="External" /><Relationship Id="rId46" Type="http://schemas.openxmlformats.org/officeDocument/2006/relationships/hyperlink" Target="https://twitter.com/#!/timmcclure23/status/1080844486710906880" TargetMode="External" /><Relationship Id="rId47" Type="http://schemas.openxmlformats.org/officeDocument/2006/relationships/hyperlink" Target="https://twitter.com/#!/timmcclure23/status/1080925150223183874" TargetMode="External" /><Relationship Id="rId48" Type="http://schemas.openxmlformats.org/officeDocument/2006/relationships/hyperlink" Target="https://twitter.com/#!/onewalktoronto/status/1086370671213641728" TargetMode="External" /><Relationship Id="rId49" Type="http://schemas.openxmlformats.org/officeDocument/2006/relationships/hyperlink" Target="https://twitter.com/#!/timmcclure23/status/1080844486710906880" TargetMode="External" /><Relationship Id="rId50" Type="http://schemas.openxmlformats.org/officeDocument/2006/relationships/hyperlink" Target="https://twitter.com/#!/timmcclure23/status/1080925150223183874" TargetMode="External" /><Relationship Id="rId51" Type="http://schemas.openxmlformats.org/officeDocument/2006/relationships/hyperlink" Target="https://twitter.com/#!/onewalktoronto/status/1086370671213641728" TargetMode="External" /><Relationship Id="rId52" Type="http://schemas.openxmlformats.org/officeDocument/2006/relationships/hyperlink" Target="https://twitter.com/#!/timmcclure23/status/1080844486710906880" TargetMode="External" /><Relationship Id="rId53" Type="http://schemas.openxmlformats.org/officeDocument/2006/relationships/hyperlink" Target="https://twitter.com/#!/timmcclure23/status/1080925150223183874" TargetMode="External" /><Relationship Id="rId54" Type="http://schemas.openxmlformats.org/officeDocument/2006/relationships/hyperlink" Target="https://twitter.com/#!/onewalktoronto/status/1086370671213641728" TargetMode="External" /><Relationship Id="rId55" Type="http://schemas.openxmlformats.org/officeDocument/2006/relationships/hyperlink" Target="https://twitter.com/#!/timmcclure23/status/1080844486710906880" TargetMode="External" /><Relationship Id="rId56" Type="http://schemas.openxmlformats.org/officeDocument/2006/relationships/hyperlink" Target="https://twitter.com/#!/timmcclure23/status/1080925150223183874" TargetMode="External" /><Relationship Id="rId57" Type="http://schemas.openxmlformats.org/officeDocument/2006/relationships/hyperlink" Target="https://twitter.com/#!/onewalktoronto/status/1086370671213641728" TargetMode="External" /><Relationship Id="rId58" Type="http://schemas.openxmlformats.org/officeDocument/2006/relationships/hyperlink" Target="https://api.twitter.com/1.1/geo/id/61ecf520fef6ce72.json" TargetMode="External" /><Relationship Id="rId59" Type="http://schemas.openxmlformats.org/officeDocument/2006/relationships/hyperlink" Target="https://api.twitter.com/1.1/geo/id/61ecf520fef6ce72.json" TargetMode="External" /><Relationship Id="rId60" Type="http://schemas.openxmlformats.org/officeDocument/2006/relationships/hyperlink" Target="https://api.twitter.com/1.1/geo/id/61ecf520fef6ce72.json" TargetMode="External" /><Relationship Id="rId61" Type="http://schemas.openxmlformats.org/officeDocument/2006/relationships/hyperlink" Target="https://api.twitter.com/1.1/geo/id/61ecf520fef6ce72.json" TargetMode="External" /><Relationship Id="rId62" Type="http://schemas.openxmlformats.org/officeDocument/2006/relationships/hyperlink" Target="https://api.twitter.com/1.1/geo/id/61ecf520fef6ce72.json" TargetMode="External" /><Relationship Id="rId63" Type="http://schemas.openxmlformats.org/officeDocument/2006/relationships/hyperlink" Target="https://api.twitter.com/1.1/geo/id/61ecf520fef6ce72.json" TargetMode="External" /><Relationship Id="rId64" Type="http://schemas.openxmlformats.org/officeDocument/2006/relationships/hyperlink" Target="https://api.twitter.com/1.1/geo/id/61ecf520fef6ce72.json" TargetMode="External" /><Relationship Id="rId65" Type="http://schemas.openxmlformats.org/officeDocument/2006/relationships/hyperlink" Target="https://api.twitter.com/1.1/geo/id/61ecf520fef6ce72.json" TargetMode="External" /><Relationship Id="rId66" Type="http://schemas.openxmlformats.org/officeDocument/2006/relationships/hyperlink" Target="https://api.twitter.com/1.1/geo/id/61ecf520fef6ce72.json" TargetMode="External" /><Relationship Id="rId67" Type="http://schemas.openxmlformats.org/officeDocument/2006/relationships/hyperlink" Target="https://api.twitter.com/1.1/geo/id/61ecf520fef6ce72.json" TargetMode="External" /><Relationship Id="rId68" Type="http://schemas.openxmlformats.org/officeDocument/2006/relationships/comments" Target="../comments1.xml" /><Relationship Id="rId69" Type="http://schemas.openxmlformats.org/officeDocument/2006/relationships/vmlDrawing" Target="../drawings/vmlDrawing1.vml" /><Relationship Id="rId70" Type="http://schemas.openxmlformats.org/officeDocument/2006/relationships/table" Target="../tables/table1.xml" /><Relationship Id="rId7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www.socialrivals.com/" TargetMode="External" /><Relationship Id="rId2" Type="http://schemas.openxmlformats.org/officeDocument/2006/relationships/hyperlink" Target="https://twitter.com/thepmcf/status/1080841215262711808" TargetMode="External" /><Relationship Id="rId3" Type="http://schemas.openxmlformats.org/officeDocument/2006/relationships/hyperlink" Target="http://pbs.twimg.com/profile_images/495235732819034112/3k-ynFVE_normal.png" TargetMode="External" /><Relationship Id="rId4" Type="http://schemas.openxmlformats.org/officeDocument/2006/relationships/hyperlink" Target="http://pbs.twimg.com/profile_images/675080091035172864/HZ5U7SeD_normal.jpg" TargetMode="External" /><Relationship Id="rId5" Type="http://schemas.openxmlformats.org/officeDocument/2006/relationships/hyperlink" Target="http://pbs.twimg.com/profile_images/675080091035172864/HZ5U7SeD_normal.jpg" TargetMode="External" /><Relationship Id="rId6" Type="http://schemas.openxmlformats.org/officeDocument/2006/relationships/hyperlink" Target="http://pbs.twimg.com/profile_images/697284678760292353/bTd3nDOn_normal.png" TargetMode="External" /><Relationship Id="rId7" Type="http://schemas.openxmlformats.org/officeDocument/2006/relationships/hyperlink" Target="https://twitter.com/#!/socialrivals/status/1071293551714205696" TargetMode="External" /><Relationship Id="rId8" Type="http://schemas.openxmlformats.org/officeDocument/2006/relationships/hyperlink" Target="https://twitter.com/#!/timmcclure23/status/1080844486710906880" TargetMode="External" /><Relationship Id="rId9" Type="http://schemas.openxmlformats.org/officeDocument/2006/relationships/hyperlink" Target="https://twitter.com/#!/timmcclure23/status/1080925150223183874" TargetMode="External" /><Relationship Id="rId10" Type="http://schemas.openxmlformats.org/officeDocument/2006/relationships/hyperlink" Target="https://twitter.com/#!/onewalktoronto/status/1086370671213641728" TargetMode="External" /><Relationship Id="rId11" Type="http://schemas.openxmlformats.org/officeDocument/2006/relationships/hyperlink" Target="https://api.twitter.com/1.1/geo/id/61ecf520fef6ce72.json" TargetMode="External" /><Relationship Id="rId12" Type="http://schemas.openxmlformats.org/officeDocument/2006/relationships/comments" Target="../comments12.xml" /><Relationship Id="rId13" Type="http://schemas.openxmlformats.org/officeDocument/2006/relationships/vmlDrawing" Target="../drawings/vmlDrawing6.vml" /><Relationship Id="rId14" Type="http://schemas.openxmlformats.org/officeDocument/2006/relationships/table" Target="../tables/table22.xml" /><Relationship Id="rId15"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t.co/NMsofuDe8Y" TargetMode="External" /><Relationship Id="rId2" Type="http://schemas.openxmlformats.org/officeDocument/2006/relationships/hyperlink" Target="http://www.petermunkcardiaccentre.ca/" TargetMode="External" /><Relationship Id="rId3" Type="http://schemas.openxmlformats.org/officeDocument/2006/relationships/hyperlink" Target="https://t.co/DeVDxv4bWN" TargetMode="External" /><Relationship Id="rId4" Type="http://schemas.openxmlformats.org/officeDocument/2006/relationships/hyperlink" Target="http://t.co/wfu1c964SB" TargetMode="External" /><Relationship Id="rId5" Type="http://schemas.openxmlformats.org/officeDocument/2006/relationships/hyperlink" Target="http://www.harryrosen.com/" TargetMode="External" /><Relationship Id="rId6" Type="http://schemas.openxmlformats.org/officeDocument/2006/relationships/hyperlink" Target="https://t.co/mtVh0Gfh0s" TargetMode="External" /><Relationship Id="rId7" Type="http://schemas.openxmlformats.org/officeDocument/2006/relationships/hyperlink" Target="http://t.co/zY8CCmT2C5" TargetMode="External" /><Relationship Id="rId8" Type="http://schemas.openxmlformats.org/officeDocument/2006/relationships/hyperlink" Target="https://t.co/d4OdL5AxvD" TargetMode="External" /><Relationship Id="rId9" Type="http://schemas.openxmlformats.org/officeDocument/2006/relationships/hyperlink" Target="http://t.co/56HCQw1iWf" TargetMode="External" /><Relationship Id="rId10" Type="http://schemas.openxmlformats.org/officeDocument/2006/relationships/hyperlink" Target="http://t.co/MvUEofCbDz" TargetMode="External" /><Relationship Id="rId11" Type="http://schemas.openxmlformats.org/officeDocument/2006/relationships/hyperlink" Target="https://t.co/8KFC4wBUJs" TargetMode="External" /><Relationship Id="rId12" Type="http://schemas.openxmlformats.org/officeDocument/2006/relationships/hyperlink" Target="https://t.co/8KFC4wBUJs" TargetMode="External" /><Relationship Id="rId13" Type="http://schemas.openxmlformats.org/officeDocument/2006/relationships/hyperlink" Target="https://t.co/kxMiAWeFtG" TargetMode="External" /><Relationship Id="rId14" Type="http://schemas.openxmlformats.org/officeDocument/2006/relationships/hyperlink" Target="https://pbs.twimg.com/profile_banners/28596360/1547153042" TargetMode="External" /><Relationship Id="rId15" Type="http://schemas.openxmlformats.org/officeDocument/2006/relationships/hyperlink" Target="https://pbs.twimg.com/profile_banners/1898428039/1505413705" TargetMode="External" /><Relationship Id="rId16" Type="http://schemas.openxmlformats.org/officeDocument/2006/relationships/hyperlink" Target="https://pbs.twimg.com/profile_banners/84181532/1493677905" TargetMode="External" /><Relationship Id="rId17" Type="http://schemas.openxmlformats.org/officeDocument/2006/relationships/hyperlink" Target="https://pbs.twimg.com/profile_banners/267907692/1510255436" TargetMode="External" /><Relationship Id="rId18" Type="http://schemas.openxmlformats.org/officeDocument/2006/relationships/hyperlink" Target="https://pbs.twimg.com/profile_banners/19638600/1532352380" TargetMode="External" /><Relationship Id="rId19" Type="http://schemas.openxmlformats.org/officeDocument/2006/relationships/hyperlink" Target="https://pbs.twimg.com/profile_banners/63154208/1542056987" TargetMode="External" /><Relationship Id="rId20" Type="http://schemas.openxmlformats.org/officeDocument/2006/relationships/hyperlink" Target="https://pbs.twimg.com/profile_banners/89768177/1513713557" TargetMode="External" /><Relationship Id="rId21" Type="http://schemas.openxmlformats.org/officeDocument/2006/relationships/hyperlink" Target="https://pbs.twimg.com/profile_banners/2571741373/1536867398" TargetMode="External" /><Relationship Id="rId22" Type="http://schemas.openxmlformats.org/officeDocument/2006/relationships/hyperlink" Target="https://pbs.twimg.com/profile_banners/178047160/1515421765" TargetMode="External" /><Relationship Id="rId23" Type="http://schemas.openxmlformats.org/officeDocument/2006/relationships/hyperlink" Target="https://pbs.twimg.com/profile_banners/821437199040315392/1515535849" TargetMode="External" /><Relationship Id="rId24" Type="http://schemas.openxmlformats.org/officeDocument/2006/relationships/hyperlink" Target="https://pbs.twimg.com/profile_banners/16827492/1536611671" TargetMode="External" /><Relationship Id="rId25" Type="http://schemas.openxmlformats.org/officeDocument/2006/relationships/hyperlink" Target="https://pbs.twimg.com/profile_banners/4127912357/1446826636" TargetMode="External" /><Relationship Id="rId26" Type="http://schemas.openxmlformats.org/officeDocument/2006/relationships/hyperlink" Target="http://abs.twimg.com/images/themes/theme1/bg.png" TargetMode="External" /><Relationship Id="rId27" Type="http://schemas.openxmlformats.org/officeDocument/2006/relationships/hyperlink" Target="http://abs.twimg.com/images/themes/theme12/bg.gif" TargetMode="External" /><Relationship Id="rId28" Type="http://schemas.openxmlformats.org/officeDocument/2006/relationships/hyperlink" Target="http://abs.twimg.com/images/themes/theme9/bg.gif" TargetMode="External" /><Relationship Id="rId29" Type="http://schemas.openxmlformats.org/officeDocument/2006/relationships/hyperlink" Target="http://abs.twimg.com/images/themes/theme1/bg.png" TargetMode="External" /><Relationship Id="rId30" Type="http://schemas.openxmlformats.org/officeDocument/2006/relationships/hyperlink" Target="http://pbs.twimg.com/profile_background_images/450646761283915776/R3zit61U.jpeg" TargetMode="External" /><Relationship Id="rId31" Type="http://schemas.openxmlformats.org/officeDocument/2006/relationships/hyperlink" Target="http://abs.twimg.com/images/themes/theme1/bg.png" TargetMode="External" /><Relationship Id="rId32" Type="http://schemas.openxmlformats.org/officeDocument/2006/relationships/hyperlink" Target="http://abs.twimg.com/images/themes/theme5/bg.gif" TargetMode="External" /><Relationship Id="rId33" Type="http://schemas.openxmlformats.org/officeDocument/2006/relationships/hyperlink" Target="http://abs.twimg.com/images/themes/theme1/bg.png" TargetMode="External" /><Relationship Id="rId34" Type="http://schemas.openxmlformats.org/officeDocument/2006/relationships/hyperlink" Target="http://abs.twimg.com/images/themes/theme1/bg.png" TargetMode="External" /><Relationship Id="rId35" Type="http://schemas.openxmlformats.org/officeDocument/2006/relationships/hyperlink" Target="http://pbs.twimg.com/profile_background_images/514121096119873536/bCfQeLIF.jpeg" TargetMode="External" /><Relationship Id="rId36" Type="http://schemas.openxmlformats.org/officeDocument/2006/relationships/hyperlink" Target="http://abs.twimg.com/images/themes/theme1/bg.png" TargetMode="External" /><Relationship Id="rId37" Type="http://schemas.openxmlformats.org/officeDocument/2006/relationships/hyperlink" Target="http://abs.twimg.com/images/themes/theme9/bg.gif" TargetMode="External" /><Relationship Id="rId38" Type="http://schemas.openxmlformats.org/officeDocument/2006/relationships/hyperlink" Target="http://abs.twimg.com/images/themes/theme1/bg.png" TargetMode="External" /><Relationship Id="rId39" Type="http://schemas.openxmlformats.org/officeDocument/2006/relationships/hyperlink" Target="http://pbs.twimg.com/profile_images/495235732819034112/3k-ynFVE_normal.png" TargetMode="External" /><Relationship Id="rId40" Type="http://schemas.openxmlformats.org/officeDocument/2006/relationships/hyperlink" Target="http://pbs.twimg.com/profile_images/499947006115069952/EYWr3sR__normal.jpeg" TargetMode="External" /><Relationship Id="rId41" Type="http://schemas.openxmlformats.org/officeDocument/2006/relationships/hyperlink" Target="http://pbs.twimg.com/profile_images/675080091035172864/HZ5U7SeD_normal.jpg" TargetMode="External" /><Relationship Id="rId42" Type="http://schemas.openxmlformats.org/officeDocument/2006/relationships/hyperlink" Target="http://pbs.twimg.com/profile_images/513913798567002113/J6kLU4Tu_normal.jpeg" TargetMode="External" /><Relationship Id="rId43" Type="http://schemas.openxmlformats.org/officeDocument/2006/relationships/hyperlink" Target="http://pbs.twimg.com/profile_images/798536109844115456/uj2Qtw4-_normal.jpg" TargetMode="External" /><Relationship Id="rId44" Type="http://schemas.openxmlformats.org/officeDocument/2006/relationships/hyperlink" Target="http://pbs.twimg.com/profile_images/1060954815474360320/H8h8uiiF_normal.jpg" TargetMode="External" /><Relationship Id="rId45" Type="http://schemas.openxmlformats.org/officeDocument/2006/relationships/hyperlink" Target="http://pbs.twimg.com/profile_images/725322691377418240/2JdVp3Rx_normal.jpg" TargetMode="External" /><Relationship Id="rId46" Type="http://schemas.openxmlformats.org/officeDocument/2006/relationships/hyperlink" Target="http://pbs.twimg.com/profile_images/905527290368466944/HWv9-BVI_normal.jpg" TargetMode="External" /><Relationship Id="rId47" Type="http://schemas.openxmlformats.org/officeDocument/2006/relationships/hyperlink" Target="http://pbs.twimg.com/profile_images/697284678760292353/bTd3nDOn_normal.png" TargetMode="External" /><Relationship Id="rId48" Type="http://schemas.openxmlformats.org/officeDocument/2006/relationships/hyperlink" Target="http://pbs.twimg.com/profile_images/855091966866055170/MXDv4NpN_normal.jpg" TargetMode="External" /><Relationship Id="rId49" Type="http://schemas.openxmlformats.org/officeDocument/2006/relationships/hyperlink" Target="http://pbs.twimg.com/profile_images/950846791813124096/8lzO7Gjd_normal.jpg" TargetMode="External" /><Relationship Id="rId50" Type="http://schemas.openxmlformats.org/officeDocument/2006/relationships/hyperlink" Target="http://pbs.twimg.com/profile_images/753606995077435392/0XRI28kj_normal.jpg" TargetMode="External" /><Relationship Id="rId51" Type="http://schemas.openxmlformats.org/officeDocument/2006/relationships/hyperlink" Target="http://pbs.twimg.com/profile_images/662669537129574400/dcwHw5NT_normal.jpg" TargetMode="External" /><Relationship Id="rId52" Type="http://schemas.openxmlformats.org/officeDocument/2006/relationships/hyperlink" Target="https://twitter.com/socialrivals" TargetMode="External" /><Relationship Id="rId53" Type="http://schemas.openxmlformats.org/officeDocument/2006/relationships/hyperlink" Target="https://twitter.com/pmunkcardiacctr" TargetMode="External" /><Relationship Id="rId54" Type="http://schemas.openxmlformats.org/officeDocument/2006/relationships/hyperlink" Target="https://twitter.com/timmcclure23" TargetMode="External" /><Relationship Id="rId55" Type="http://schemas.openxmlformats.org/officeDocument/2006/relationships/hyperlink" Target="https://twitter.com/enbridge" TargetMode="External" /><Relationship Id="rId56" Type="http://schemas.openxmlformats.org/officeDocument/2006/relationships/hyperlink" Target="https://twitter.com/harryroseninc" TargetMode="External" /><Relationship Id="rId57" Type="http://schemas.openxmlformats.org/officeDocument/2006/relationships/hyperlink" Target="https://twitter.com/scotiabank" TargetMode="External" /><Relationship Id="rId58" Type="http://schemas.openxmlformats.org/officeDocument/2006/relationships/hyperlink" Target="https://twitter.com/longosmarkets" TargetMode="External" /><Relationship Id="rId59" Type="http://schemas.openxmlformats.org/officeDocument/2006/relationships/hyperlink" Target="https://twitter.com/theontarioride" TargetMode="External" /><Relationship Id="rId60" Type="http://schemas.openxmlformats.org/officeDocument/2006/relationships/hyperlink" Target="https://twitter.com/onewalktoronto" TargetMode="External" /><Relationship Id="rId61" Type="http://schemas.openxmlformats.org/officeDocument/2006/relationships/hyperlink" Target="https://twitter.com/roadhockey" TargetMode="External" /><Relationship Id="rId62" Type="http://schemas.openxmlformats.org/officeDocument/2006/relationships/hyperlink" Target="https://twitter.com/mburnspmcf" TargetMode="External" /><Relationship Id="rId63" Type="http://schemas.openxmlformats.org/officeDocument/2006/relationships/hyperlink" Target="https://twitter.com/thepmcf" TargetMode="External" /><Relationship Id="rId64" Type="http://schemas.openxmlformats.org/officeDocument/2006/relationships/hyperlink" Target="https://twitter.com/pmcancercentre" TargetMode="External" /><Relationship Id="rId65" Type="http://schemas.openxmlformats.org/officeDocument/2006/relationships/comments" Target="../comments2.xml" /><Relationship Id="rId66" Type="http://schemas.openxmlformats.org/officeDocument/2006/relationships/vmlDrawing" Target="../drawings/vmlDrawing2.vml" /><Relationship Id="rId67" Type="http://schemas.openxmlformats.org/officeDocument/2006/relationships/table" Target="../tables/table2.xml" /><Relationship Id="rId6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twitter.com/thepmcf/status/1080841215262711808" TargetMode="External" /><Relationship Id="rId2" Type="http://schemas.openxmlformats.org/officeDocument/2006/relationships/hyperlink" Target="http://www.socialrivals.com/" TargetMode="External" /><Relationship Id="rId3" Type="http://schemas.openxmlformats.org/officeDocument/2006/relationships/hyperlink" Target="https://twitter.com/thepmcf/status/1080841215262711808" TargetMode="External" /><Relationship Id="rId4" Type="http://schemas.openxmlformats.org/officeDocument/2006/relationships/hyperlink" Target="http://www.socialrivals.com/" TargetMode="External" /><Relationship Id="rId5" Type="http://schemas.openxmlformats.org/officeDocument/2006/relationships/table" Target="../tables/table12.xml" /><Relationship Id="rId6" Type="http://schemas.openxmlformats.org/officeDocument/2006/relationships/table" Target="../tables/table13.xml" /><Relationship Id="rId7" Type="http://schemas.openxmlformats.org/officeDocument/2006/relationships/table" Target="../tables/table14.xml" /><Relationship Id="rId8" Type="http://schemas.openxmlformats.org/officeDocument/2006/relationships/table" Target="../tables/table15.xml" /><Relationship Id="rId9" Type="http://schemas.openxmlformats.org/officeDocument/2006/relationships/table" Target="../tables/table16.xml" /><Relationship Id="rId10" Type="http://schemas.openxmlformats.org/officeDocument/2006/relationships/table" Target="../tables/table17.xml" /><Relationship Id="rId11" Type="http://schemas.openxmlformats.org/officeDocument/2006/relationships/table" Target="../tables/table18.xml" /><Relationship Id="rId12"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416</v>
      </c>
      <c r="BB2" s="13" t="s">
        <v>424</v>
      </c>
      <c r="BC2" s="13" t="s">
        <v>425</v>
      </c>
      <c r="BD2" s="67" t="s">
        <v>538</v>
      </c>
      <c r="BE2" s="67" t="s">
        <v>539</v>
      </c>
      <c r="BF2" s="67" t="s">
        <v>540</v>
      </c>
      <c r="BG2" s="67" t="s">
        <v>541</v>
      </c>
      <c r="BH2" s="67" t="s">
        <v>542</v>
      </c>
      <c r="BI2" s="67" t="s">
        <v>543</v>
      </c>
      <c r="BJ2" s="67" t="s">
        <v>544</v>
      </c>
      <c r="BK2" s="67" t="s">
        <v>545</v>
      </c>
      <c r="BL2" s="67" t="s">
        <v>546</v>
      </c>
    </row>
    <row r="3" spans="1:64" ht="15" customHeight="1">
      <c r="A3" s="84" t="s">
        <v>212</v>
      </c>
      <c r="B3" s="84" t="s">
        <v>215</v>
      </c>
      <c r="C3" s="53" t="s">
        <v>553</v>
      </c>
      <c r="D3" s="54">
        <v>3</v>
      </c>
      <c r="E3" s="65" t="s">
        <v>132</v>
      </c>
      <c r="F3" s="55">
        <v>35</v>
      </c>
      <c r="G3" s="53"/>
      <c r="H3" s="57"/>
      <c r="I3" s="56"/>
      <c r="J3" s="56"/>
      <c r="K3" s="36" t="s">
        <v>65</v>
      </c>
      <c r="L3" s="62">
        <v>3</v>
      </c>
      <c r="M3" s="62"/>
      <c r="N3" s="63"/>
      <c r="O3" s="85" t="s">
        <v>225</v>
      </c>
      <c r="P3" s="87">
        <v>43442.2784837963</v>
      </c>
      <c r="Q3" s="85" t="s">
        <v>226</v>
      </c>
      <c r="R3" s="89" t="s">
        <v>229</v>
      </c>
      <c r="S3" s="85" t="s">
        <v>231</v>
      </c>
      <c r="T3" s="85" t="s">
        <v>233</v>
      </c>
      <c r="U3" s="85"/>
      <c r="V3" s="89" t="s">
        <v>235</v>
      </c>
      <c r="W3" s="87">
        <v>43442.2784837963</v>
      </c>
      <c r="X3" s="89" t="s">
        <v>238</v>
      </c>
      <c r="Y3" s="85"/>
      <c r="Z3" s="85"/>
      <c r="AA3" s="91" t="s">
        <v>242</v>
      </c>
      <c r="AB3" s="85"/>
      <c r="AC3" s="85" t="b">
        <v>0</v>
      </c>
      <c r="AD3" s="85">
        <v>0</v>
      </c>
      <c r="AE3" s="91" t="s">
        <v>246</v>
      </c>
      <c r="AF3" s="85" t="b">
        <v>0</v>
      </c>
      <c r="AG3" s="85" t="s">
        <v>247</v>
      </c>
      <c r="AH3" s="85"/>
      <c r="AI3" s="91" t="s">
        <v>246</v>
      </c>
      <c r="AJ3" s="85" t="b">
        <v>0</v>
      </c>
      <c r="AK3" s="85">
        <v>0</v>
      </c>
      <c r="AL3" s="91" t="s">
        <v>246</v>
      </c>
      <c r="AM3" s="85" t="s">
        <v>249</v>
      </c>
      <c r="AN3" s="85" t="b">
        <v>0</v>
      </c>
      <c r="AO3" s="91" t="s">
        <v>242</v>
      </c>
      <c r="AP3" s="85" t="s">
        <v>176</v>
      </c>
      <c r="AQ3" s="85">
        <v>0</v>
      </c>
      <c r="AR3" s="85">
        <v>0</v>
      </c>
      <c r="AS3" s="85"/>
      <c r="AT3" s="85"/>
      <c r="AU3" s="85"/>
      <c r="AV3" s="85"/>
      <c r="AW3" s="85"/>
      <c r="AX3" s="85"/>
      <c r="AY3" s="85"/>
      <c r="AZ3" s="85"/>
      <c r="BA3">
        <v>1</v>
      </c>
      <c r="BB3" s="85" t="str">
        <f>REPLACE(INDEX(GroupVertices[Group],MATCH(Edges[[#This Row],[Vertex 1]],GroupVertices[Vertex],0)),1,1,"")</f>
        <v>3</v>
      </c>
      <c r="BC3" s="85" t="str">
        <f>REPLACE(INDEX(GroupVertices[Group],MATCH(Edges[[#This Row],[Vertex 2]],GroupVertices[Vertex],0)),1,1,"")</f>
        <v>3</v>
      </c>
      <c r="BD3" s="51">
        <v>0</v>
      </c>
      <c r="BE3" s="52">
        <v>0</v>
      </c>
      <c r="BF3" s="51">
        <v>1</v>
      </c>
      <c r="BG3" s="52">
        <v>8.333333333333334</v>
      </c>
      <c r="BH3" s="51">
        <v>0</v>
      </c>
      <c r="BI3" s="52">
        <v>0</v>
      </c>
      <c r="BJ3" s="51">
        <v>11</v>
      </c>
      <c r="BK3" s="52">
        <v>91.66666666666667</v>
      </c>
      <c r="BL3" s="51">
        <v>12</v>
      </c>
    </row>
    <row r="4" spans="1:64" ht="15" customHeight="1">
      <c r="A4" s="84" t="s">
        <v>213</v>
      </c>
      <c r="B4" s="84" t="s">
        <v>216</v>
      </c>
      <c r="C4" s="53" t="s">
        <v>553</v>
      </c>
      <c r="D4" s="54">
        <v>3</v>
      </c>
      <c r="E4" s="65" t="s">
        <v>132</v>
      </c>
      <c r="F4" s="55">
        <v>35</v>
      </c>
      <c r="G4" s="53"/>
      <c r="H4" s="57"/>
      <c r="I4" s="56"/>
      <c r="J4" s="56"/>
      <c r="K4" s="36" t="s">
        <v>65</v>
      </c>
      <c r="L4" s="83">
        <v>4</v>
      </c>
      <c r="M4" s="83"/>
      <c r="N4" s="63"/>
      <c r="O4" s="86" t="s">
        <v>225</v>
      </c>
      <c r="P4" s="88">
        <v>43468.634039351855</v>
      </c>
      <c r="Q4" s="86" t="s">
        <v>227</v>
      </c>
      <c r="R4" s="90" t="s">
        <v>230</v>
      </c>
      <c r="S4" s="86" t="s">
        <v>232</v>
      </c>
      <c r="T4" s="86" t="s">
        <v>234</v>
      </c>
      <c r="U4" s="86"/>
      <c r="V4" s="90" t="s">
        <v>236</v>
      </c>
      <c r="W4" s="88">
        <v>43468.634039351855</v>
      </c>
      <c r="X4" s="90" t="s">
        <v>239</v>
      </c>
      <c r="Y4" s="86"/>
      <c r="Z4" s="86"/>
      <c r="AA4" s="92" t="s">
        <v>243</v>
      </c>
      <c r="AB4" s="86"/>
      <c r="AC4" s="86" t="b">
        <v>0</v>
      </c>
      <c r="AD4" s="86">
        <v>1</v>
      </c>
      <c r="AE4" s="92" t="s">
        <v>246</v>
      </c>
      <c r="AF4" s="86" t="b">
        <v>1</v>
      </c>
      <c r="AG4" s="86" t="s">
        <v>247</v>
      </c>
      <c r="AH4" s="86"/>
      <c r="AI4" s="92" t="s">
        <v>248</v>
      </c>
      <c r="AJ4" s="86" t="b">
        <v>0</v>
      </c>
      <c r="AK4" s="86">
        <v>1</v>
      </c>
      <c r="AL4" s="92" t="s">
        <v>246</v>
      </c>
      <c r="AM4" s="86" t="s">
        <v>250</v>
      </c>
      <c r="AN4" s="86" t="b">
        <v>0</v>
      </c>
      <c r="AO4" s="92" t="s">
        <v>243</v>
      </c>
      <c r="AP4" s="86" t="s">
        <v>176</v>
      </c>
      <c r="AQ4" s="86">
        <v>0</v>
      </c>
      <c r="AR4" s="86">
        <v>0</v>
      </c>
      <c r="AS4" s="86" t="s">
        <v>251</v>
      </c>
      <c r="AT4" s="86" t="s">
        <v>252</v>
      </c>
      <c r="AU4" s="86" t="s">
        <v>253</v>
      </c>
      <c r="AV4" s="86" t="s">
        <v>254</v>
      </c>
      <c r="AW4" s="86" t="s">
        <v>255</v>
      </c>
      <c r="AX4" s="86" t="s">
        <v>256</v>
      </c>
      <c r="AY4" s="86" t="s">
        <v>257</v>
      </c>
      <c r="AZ4" s="90" t="s">
        <v>258</v>
      </c>
      <c r="BA4">
        <v>1</v>
      </c>
      <c r="BB4" s="85" t="str">
        <f>REPLACE(INDEX(GroupVertices[Group],MATCH(Edges[[#This Row],[Vertex 1]],GroupVertices[Vertex],0)),1,1,"")</f>
        <v>2</v>
      </c>
      <c r="BC4" s="85" t="str">
        <f>REPLACE(INDEX(GroupVertices[Group],MATCH(Edges[[#This Row],[Vertex 2]],GroupVertices[Vertex],0)),1,1,"")</f>
        <v>2</v>
      </c>
      <c r="BD4" s="51"/>
      <c r="BE4" s="52"/>
      <c r="BF4" s="51"/>
      <c r="BG4" s="52"/>
      <c r="BH4" s="51"/>
      <c r="BI4" s="52"/>
      <c r="BJ4" s="51"/>
      <c r="BK4" s="52"/>
      <c r="BL4" s="51"/>
    </row>
    <row r="5" spans="1:64" ht="45">
      <c r="A5" s="84" t="s">
        <v>213</v>
      </c>
      <c r="B5" s="84" t="s">
        <v>217</v>
      </c>
      <c r="C5" s="53" t="s">
        <v>553</v>
      </c>
      <c r="D5" s="54">
        <v>3</v>
      </c>
      <c r="E5" s="65" t="s">
        <v>132</v>
      </c>
      <c r="F5" s="55">
        <v>35</v>
      </c>
      <c r="G5" s="53"/>
      <c r="H5" s="57"/>
      <c r="I5" s="56"/>
      <c r="J5" s="56"/>
      <c r="K5" s="36" t="s">
        <v>65</v>
      </c>
      <c r="L5" s="83">
        <v>5</v>
      </c>
      <c r="M5" s="83"/>
      <c r="N5" s="63"/>
      <c r="O5" s="86" t="s">
        <v>225</v>
      </c>
      <c r="P5" s="88">
        <v>43468.634039351855</v>
      </c>
      <c r="Q5" s="86" t="s">
        <v>227</v>
      </c>
      <c r="R5" s="90" t="s">
        <v>230</v>
      </c>
      <c r="S5" s="86" t="s">
        <v>232</v>
      </c>
      <c r="T5" s="86" t="s">
        <v>234</v>
      </c>
      <c r="U5" s="86"/>
      <c r="V5" s="90" t="s">
        <v>236</v>
      </c>
      <c r="W5" s="88">
        <v>43468.634039351855</v>
      </c>
      <c r="X5" s="90" t="s">
        <v>239</v>
      </c>
      <c r="Y5" s="86"/>
      <c r="Z5" s="86"/>
      <c r="AA5" s="92" t="s">
        <v>243</v>
      </c>
      <c r="AB5" s="86"/>
      <c r="AC5" s="86" t="b">
        <v>0</v>
      </c>
      <c r="AD5" s="86">
        <v>1</v>
      </c>
      <c r="AE5" s="92" t="s">
        <v>246</v>
      </c>
      <c r="AF5" s="86" t="b">
        <v>1</v>
      </c>
      <c r="AG5" s="86" t="s">
        <v>247</v>
      </c>
      <c r="AH5" s="86"/>
      <c r="AI5" s="92" t="s">
        <v>248</v>
      </c>
      <c r="AJ5" s="86" t="b">
        <v>0</v>
      </c>
      <c r="AK5" s="86">
        <v>1</v>
      </c>
      <c r="AL5" s="92" t="s">
        <v>246</v>
      </c>
      <c r="AM5" s="86" t="s">
        <v>250</v>
      </c>
      <c r="AN5" s="86" t="b">
        <v>0</v>
      </c>
      <c r="AO5" s="92" t="s">
        <v>243</v>
      </c>
      <c r="AP5" s="86" t="s">
        <v>176</v>
      </c>
      <c r="AQ5" s="86">
        <v>0</v>
      </c>
      <c r="AR5" s="86">
        <v>0</v>
      </c>
      <c r="AS5" s="86" t="s">
        <v>251</v>
      </c>
      <c r="AT5" s="86" t="s">
        <v>252</v>
      </c>
      <c r="AU5" s="86" t="s">
        <v>253</v>
      </c>
      <c r="AV5" s="86" t="s">
        <v>254</v>
      </c>
      <c r="AW5" s="86" t="s">
        <v>255</v>
      </c>
      <c r="AX5" s="86" t="s">
        <v>256</v>
      </c>
      <c r="AY5" s="86" t="s">
        <v>257</v>
      </c>
      <c r="AZ5" s="90" t="s">
        <v>258</v>
      </c>
      <c r="BA5">
        <v>1</v>
      </c>
      <c r="BB5" s="85" t="str">
        <f>REPLACE(INDEX(GroupVertices[Group],MATCH(Edges[[#This Row],[Vertex 1]],GroupVertices[Vertex],0)),1,1,"")</f>
        <v>2</v>
      </c>
      <c r="BC5" s="85" t="str">
        <f>REPLACE(INDEX(GroupVertices[Group],MATCH(Edges[[#This Row],[Vertex 2]],GroupVertices[Vertex],0)),1,1,"")</f>
        <v>2</v>
      </c>
      <c r="BD5" s="51"/>
      <c r="BE5" s="52"/>
      <c r="BF5" s="51"/>
      <c r="BG5" s="52"/>
      <c r="BH5" s="51"/>
      <c r="BI5" s="52"/>
      <c r="BJ5" s="51"/>
      <c r="BK5" s="52"/>
      <c r="BL5" s="51"/>
    </row>
    <row r="6" spans="1:64" ht="45">
      <c r="A6" s="84" t="s">
        <v>213</v>
      </c>
      <c r="B6" s="84" t="s">
        <v>218</v>
      </c>
      <c r="C6" s="53" t="s">
        <v>553</v>
      </c>
      <c r="D6" s="54">
        <v>3</v>
      </c>
      <c r="E6" s="65" t="s">
        <v>132</v>
      </c>
      <c r="F6" s="55">
        <v>35</v>
      </c>
      <c r="G6" s="53"/>
      <c r="H6" s="57"/>
      <c r="I6" s="56"/>
      <c r="J6" s="56"/>
      <c r="K6" s="36" t="s">
        <v>65</v>
      </c>
      <c r="L6" s="83">
        <v>6</v>
      </c>
      <c r="M6" s="83"/>
      <c r="N6" s="63"/>
      <c r="O6" s="86" t="s">
        <v>225</v>
      </c>
      <c r="P6" s="88">
        <v>43468.634039351855</v>
      </c>
      <c r="Q6" s="86" t="s">
        <v>227</v>
      </c>
      <c r="R6" s="90" t="s">
        <v>230</v>
      </c>
      <c r="S6" s="86" t="s">
        <v>232</v>
      </c>
      <c r="T6" s="86" t="s">
        <v>234</v>
      </c>
      <c r="U6" s="86"/>
      <c r="V6" s="90" t="s">
        <v>236</v>
      </c>
      <c r="W6" s="88">
        <v>43468.634039351855</v>
      </c>
      <c r="X6" s="90" t="s">
        <v>239</v>
      </c>
      <c r="Y6" s="86"/>
      <c r="Z6" s="86"/>
      <c r="AA6" s="92" t="s">
        <v>243</v>
      </c>
      <c r="AB6" s="86"/>
      <c r="AC6" s="86" t="b">
        <v>0</v>
      </c>
      <c r="AD6" s="86">
        <v>1</v>
      </c>
      <c r="AE6" s="92" t="s">
        <v>246</v>
      </c>
      <c r="AF6" s="86" t="b">
        <v>1</v>
      </c>
      <c r="AG6" s="86" t="s">
        <v>247</v>
      </c>
      <c r="AH6" s="86"/>
      <c r="AI6" s="92" t="s">
        <v>248</v>
      </c>
      <c r="AJ6" s="86" t="b">
        <v>0</v>
      </c>
      <c r="AK6" s="86">
        <v>1</v>
      </c>
      <c r="AL6" s="92" t="s">
        <v>246</v>
      </c>
      <c r="AM6" s="86" t="s">
        <v>250</v>
      </c>
      <c r="AN6" s="86" t="b">
        <v>0</v>
      </c>
      <c r="AO6" s="92" t="s">
        <v>243</v>
      </c>
      <c r="AP6" s="86" t="s">
        <v>176</v>
      </c>
      <c r="AQ6" s="86">
        <v>0</v>
      </c>
      <c r="AR6" s="86">
        <v>0</v>
      </c>
      <c r="AS6" s="86" t="s">
        <v>251</v>
      </c>
      <c r="AT6" s="86" t="s">
        <v>252</v>
      </c>
      <c r="AU6" s="86" t="s">
        <v>253</v>
      </c>
      <c r="AV6" s="86" t="s">
        <v>254</v>
      </c>
      <c r="AW6" s="86" t="s">
        <v>255</v>
      </c>
      <c r="AX6" s="86" t="s">
        <v>256</v>
      </c>
      <c r="AY6" s="86" t="s">
        <v>257</v>
      </c>
      <c r="AZ6" s="90" t="s">
        <v>258</v>
      </c>
      <c r="BA6">
        <v>1</v>
      </c>
      <c r="BB6" s="85" t="str">
        <f>REPLACE(INDEX(GroupVertices[Group],MATCH(Edges[[#This Row],[Vertex 1]],GroupVertices[Vertex],0)),1,1,"")</f>
        <v>2</v>
      </c>
      <c r="BC6" s="85" t="str">
        <f>REPLACE(INDEX(GroupVertices[Group],MATCH(Edges[[#This Row],[Vertex 2]],GroupVertices[Vertex],0)),1,1,"")</f>
        <v>2</v>
      </c>
      <c r="BD6" s="51"/>
      <c r="BE6" s="52"/>
      <c r="BF6" s="51"/>
      <c r="BG6" s="52"/>
      <c r="BH6" s="51"/>
      <c r="BI6" s="52"/>
      <c r="BJ6" s="51"/>
      <c r="BK6" s="52"/>
      <c r="BL6" s="51"/>
    </row>
    <row r="7" spans="1:64" ht="45">
      <c r="A7" s="84" t="s">
        <v>213</v>
      </c>
      <c r="B7" s="84" t="s">
        <v>219</v>
      </c>
      <c r="C7" s="53" t="s">
        <v>553</v>
      </c>
      <c r="D7" s="54">
        <v>3</v>
      </c>
      <c r="E7" s="65" t="s">
        <v>132</v>
      </c>
      <c r="F7" s="55">
        <v>35</v>
      </c>
      <c r="G7" s="53"/>
      <c r="H7" s="57"/>
      <c r="I7" s="56"/>
      <c r="J7" s="56"/>
      <c r="K7" s="36" t="s">
        <v>65</v>
      </c>
      <c r="L7" s="83">
        <v>7</v>
      </c>
      <c r="M7" s="83"/>
      <c r="N7" s="63"/>
      <c r="O7" s="86" t="s">
        <v>225</v>
      </c>
      <c r="P7" s="88">
        <v>43468.634039351855</v>
      </c>
      <c r="Q7" s="86" t="s">
        <v>227</v>
      </c>
      <c r="R7" s="90" t="s">
        <v>230</v>
      </c>
      <c r="S7" s="86" t="s">
        <v>232</v>
      </c>
      <c r="T7" s="86" t="s">
        <v>234</v>
      </c>
      <c r="U7" s="86"/>
      <c r="V7" s="90" t="s">
        <v>236</v>
      </c>
      <c r="W7" s="88">
        <v>43468.634039351855</v>
      </c>
      <c r="X7" s="90" t="s">
        <v>239</v>
      </c>
      <c r="Y7" s="86"/>
      <c r="Z7" s="86"/>
      <c r="AA7" s="92" t="s">
        <v>243</v>
      </c>
      <c r="AB7" s="86"/>
      <c r="AC7" s="86" t="b">
        <v>0</v>
      </c>
      <c r="AD7" s="86">
        <v>1</v>
      </c>
      <c r="AE7" s="92" t="s">
        <v>246</v>
      </c>
      <c r="AF7" s="86" t="b">
        <v>1</v>
      </c>
      <c r="AG7" s="86" t="s">
        <v>247</v>
      </c>
      <c r="AH7" s="86"/>
      <c r="AI7" s="92" t="s">
        <v>248</v>
      </c>
      <c r="AJ7" s="86" t="b">
        <v>0</v>
      </c>
      <c r="AK7" s="86">
        <v>1</v>
      </c>
      <c r="AL7" s="92" t="s">
        <v>246</v>
      </c>
      <c r="AM7" s="86" t="s">
        <v>250</v>
      </c>
      <c r="AN7" s="86" t="b">
        <v>0</v>
      </c>
      <c r="AO7" s="92" t="s">
        <v>243</v>
      </c>
      <c r="AP7" s="86" t="s">
        <v>176</v>
      </c>
      <c r="AQ7" s="86">
        <v>0</v>
      </c>
      <c r="AR7" s="86">
        <v>0</v>
      </c>
      <c r="AS7" s="86" t="s">
        <v>251</v>
      </c>
      <c r="AT7" s="86" t="s">
        <v>252</v>
      </c>
      <c r="AU7" s="86" t="s">
        <v>253</v>
      </c>
      <c r="AV7" s="86" t="s">
        <v>254</v>
      </c>
      <c r="AW7" s="86" t="s">
        <v>255</v>
      </c>
      <c r="AX7" s="86" t="s">
        <v>256</v>
      </c>
      <c r="AY7" s="86" t="s">
        <v>257</v>
      </c>
      <c r="AZ7" s="90" t="s">
        <v>258</v>
      </c>
      <c r="BA7">
        <v>1</v>
      </c>
      <c r="BB7" s="85" t="str">
        <f>REPLACE(INDEX(GroupVertices[Group],MATCH(Edges[[#This Row],[Vertex 1]],GroupVertices[Vertex],0)),1,1,"")</f>
        <v>2</v>
      </c>
      <c r="BC7" s="85" t="str">
        <f>REPLACE(INDEX(GroupVertices[Group],MATCH(Edges[[#This Row],[Vertex 2]],GroupVertices[Vertex],0)),1,1,"")</f>
        <v>2</v>
      </c>
      <c r="BD7" s="51"/>
      <c r="BE7" s="52"/>
      <c r="BF7" s="51"/>
      <c r="BG7" s="52"/>
      <c r="BH7" s="51"/>
      <c r="BI7" s="52"/>
      <c r="BJ7" s="51"/>
      <c r="BK7" s="52"/>
      <c r="BL7" s="51"/>
    </row>
    <row r="8" spans="1:64" ht="45">
      <c r="A8" s="84" t="s">
        <v>213</v>
      </c>
      <c r="B8" s="84" t="s">
        <v>220</v>
      </c>
      <c r="C8" s="53" t="s">
        <v>553</v>
      </c>
      <c r="D8" s="54">
        <v>3</v>
      </c>
      <c r="E8" s="65" t="s">
        <v>136</v>
      </c>
      <c r="F8" s="55">
        <v>35</v>
      </c>
      <c r="G8" s="53"/>
      <c r="H8" s="57"/>
      <c r="I8" s="56"/>
      <c r="J8" s="56"/>
      <c r="K8" s="36" t="s">
        <v>65</v>
      </c>
      <c r="L8" s="83">
        <v>8</v>
      </c>
      <c r="M8" s="83"/>
      <c r="N8" s="63"/>
      <c r="O8" s="86" t="s">
        <v>225</v>
      </c>
      <c r="P8" s="88">
        <v>43468.634039351855</v>
      </c>
      <c r="Q8" s="86" t="s">
        <v>227</v>
      </c>
      <c r="R8" s="90" t="s">
        <v>230</v>
      </c>
      <c r="S8" s="86" t="s">
        <v>232</v>
      </c>
      <c r="T8" s="86" t="s">
        <v>234</v>
      </c>
      <c r="U8" s="86"/>
      <c r="V8" s="90" t="s">
        <v>236</v>
      </c>
      <c r="W8" s="88">
        <v>43468.634039351855</v>
      </c>
      <c r="X8" s="90" t="s">
        <v>239</v>
      </c>
      <c r="Y8" s="86"/>
      <c r="Z8" s="86"/>
      <c r="AA8" s="92" t="s">
        <v>243</v>
      </c>
      <c r="AB8" s="86"/>
      <c r="AC8" s="86" t="b">
        <v>0</v>
      </c>
      <c r="AD8" s="86">
        <v>1</v>
      </c>
      <c r="AE8" s="92" t="s">
        <v>246</v>
      </c>
      <c r="AF8" s="86" t="b">
        <v>1</v>
      </c>
      <c r="AG8" s="86" t="s">
        <v>247</v>
      </c>
      <c r="AH8" s="86"/>
      <c r="AI8" s="92" t="s">
        <v>248</v>
      </c>
      <c r="AJ8" s="86" t="b">
        <v>0</v>
      </c>
      <c r="AK8" s="86">
        <v>1</v>
      </c>
      <c r="AL8" s="92" t="s">
        <v>246</v>
      </c>
      <c r="AM8" s="86" t="s">
        <v>250</v>
      </c>
      <c r="AN8" s="86" t="b">
        <v>0</v>
      </c>
      <c r="AO8" s="92" t="s">
        <v>243</v>
      </c>
      <c r="AP8" s="86" t="s">
        <v>176</v>
      </c>
      <c r="AQ8" s="86">
        <v>0</v>
      </c>
      <c r="AR8" s="86">
        <v>0</v>
      </c>
      <c r="AS8" s="86" t="s">
        <v>251</v>
      </c>
      <c r="AT8" s="86" t="s">
        <v>252</v>
      </c>
      <c r="AU8" s="86" t="s">
        <v>253</v>
      </c>
      <c r="AV8" s="86" t="s">
        <v>254</v>
      </c>
      <c r="AW8" s="86" t="s">
        <v>255</v>
      </c>
      <c r="AX8" s="86" t="s">
        <v>256</v>
      </c>
      <c r="AY8" s="86" t="s">
        <v>257</v>
      </c>
      <c r="AZ8" s="90" t="s">
        <v>258</v>
      </c>
      <c r="BA8">
        <v>2</v>
      </c>
      <c r="BB8" s="85" t="str">
        <f>REPLACE(INDEX(GroupVertices[Group],MATCH(Edges[[#This Row],[Vertex 1]],GroupVertices[Vertex],0)),1,1,"")</f>
        <v>2</v>
      </c>
      <c r="BC8" s="85" t="str">
        <f>REPLACE(INDEX(GroupVertices[Group],MATCH(Edges[[#This Row],[Vertex 2]],GroupVertices[Vertex],0)),1,1,"")</f>
        <v>1</v>
      </c>
      <c r="BD8" s="51"/>
      <c r="BE8" s="52"/>
      <c r="BF8" s="51"/>
      <c r="BG8" s="52"/>
      <c r="BH8" s="51"/>
      <c r="BI8" s="52"/>
      <c r="BJ8" s="51"/>
      <c r="BK8" s="52"/>
      <c r="BL8" s="51"/>
    </row>
    <row r="9" spans="1:64" ht="45">
      <c r="A9" s="84" t="s">
        <v>213</v>
      </c>
      <c r="B9" s="84" t="s">
        <v>220</v>
      </c>
      <c r="C9" s="53" t="s">
        <v>553</v>
      </c>
      <c r="D9" s="54">
        <v>3</v>
      </c>
      <c r="E9" s="65" t="s">
        <v>136</v>
      </c>
      <c r="F9" s="55">
        <v>35</v>
      </c>
      <c r="G9" s="53"/>
      <c r="H9" s="57"/>
      <c r="I9" s="56"/>
      <c r="J9" s="56"/>
      <c r="K9" s="36" t="s">
        <v>65</v>
      </c>
      <c r="L9" s="83">
        <v>9</v>
      </c>
      <c r="M9" s="83"/>
      <c r="N9" s="63"/>
      <c r="O9" s="86" t="s">
        <v>225</v>
      </c>
      <c r="P9" s="88">
        <v>43468.85663194444</v>
      </c>
      <c r="Q9" s="86" t="s">
        <v>228</v>
      </c>
      <c r="R9" s="86"/>
      <c r="S9" s="86"/>
      <c r="T9" s="86"/>
      <c r="U9" s="86"/>
      <c r="V9" s="90" t="s">
        <v>236</v>
      </c>
      <c r="W9" s="88">
        <v>43468.85663194444</v>
      </c>
      <c r="X9" s="90" t="s">
        <v>240</v>
      </c>
      <c r="Y9" s="86"/>
      <c r="Z9" s="86"/>
      <c r="AA9" s="92" t="s">
        <v>244</v>
      </c>
      <c r="AB9" s="86"/>
      <c r="AC9" s="86" t="b">
        <v>0</v>
      </c>
      <c r="AD9" s="86">
        <v>0</v>
      </c>
      <c r="AE9" s="92" t="s">
        <v>246</v>
      </c>
      <c r="AF9" s="86" t="b">
        <v>1</v>
      </c>
      <c r="AG9" s="86" t="s">
        <v>247</v>
      </c>
      <c r="AH9" s="86"/>
      <c r="AI9" s="92" t="s">
        <v>248</v>
      </c>
      <c r="AJ9" s="86" t="b">
        <v>0</v>
      </c>
      <c r="AK9" s="86">
        <v>1</v>
      </c>
      <c r="AL9" s="92" t="s">
        <v>243</v>
      </c>
      <c r="AM9" s="86" t="s">
        <v>250</v>
      </c>
      <c r="AN9" s="86" t="b">
        <v>0</v>
      </c>
      <c r="AO9" s="92" t="s">
        <v>243</v>
      </c>
      <c r="AP9" s="86" t="s">
        <v>176</v>
      </c>
      <c r="AQ9" s="86">
        <v>0</v>
      </c>
      <c r="AR9" s="86">
        <v>0</v>
      </c>
      <c r="AS9" s="86"/>
      <c r="AT9" s="86"/>
      <c r="AU9" s="86"/>
      <c r="AV9" s="86"/>
      <c r="AW9" s="86"/>
      <c r="AX9" s="86"/>
      <c r="AY9" s="86"/>
      <c r="AZ9" s="86"/>
      <c r="BA9">
        <v>2</v>
      </c>
      <c r="BB9" s="85" t="str">
        <f>REPLACE(INDEX(GroupVertices[Group],MATCH(Edges[[#This Row],[Vertex 1]],GroupVertices[Vertex],0)),1,1,"")</f>
        <v>2</v>
      </c>
      <c r="BC9" s="85" t="str">
        <f>REPLACE(INDEX(GroupVertices[Group],MATCH(Edges[[#This Row],[Vertex 2]],GroupVertices[Vertex],0)),1,1,"")</f>
        <v>1</v>
      </c>
      <c r="BD9" s="51"/>
      <c r="BE9" s="52"/>
      <c r="BF9" s="51"/>
      <c r="BG9" s="52"/>
      <c r="BH9" s="51"/>
      <c r="BI9" s="52"/>
      <c r="BJ9" s="51"/>
      <c r="BK9" s="52"/>
      <c r="BL9" s="51"/>
    </row>
    <row r="10" spans="1:64" ht="45">
      <c r="A10" s="84" t="s">
        <v>214</v>
      </c>
      <c r="B10" s="84" t="s">
        <v>220</v>
      </c>
      <c r="C10" s="53" t="s">
        <v>553</v>
      </c>
      <c r="D10" s="54">
        <v>3</v>
      </c>
      <c r="E10" s="65" t="s">
        <v>132</v>
      </c>
      <c r="F10" s="55">
        <v>35</v>
      </c>
      <c r="G10" s="53"/>
      <c r="H10" s="57"/>
      <c r="I10" s="56"/>
      <c r="J10" s="56"/>
      <c r="K10" s="36" t="s">
        <v>65</v>
      </c>
      <c r="L10" s="83">
        <v>10</v>
      </c>
      <c r="M10" s="83"/>
      <c r="N10" s="63"/>
      <c r="O10" s="86" t="s">
        <v>225</v>
      </c>
      <c r="P10" s="88">
        <v>43483.88340277778</v>
      </c>
      <c r="Q10" s="86" t="s">
        <v>228</v>
      </c>
      <c r="R10" s="86"/>
      <c r="S10" s="86"/>
      <c r="T10" s="86"/>
      <c r="U10" s="86"/>
      <c r="V10" s="90" t="s">
        <v>237</v>
      </c>
      <c r="W10" s="88">
        <v>43483.88340277778</v>
      </c>
      <c r="X10" s="90" t="s">
        <v>241</v>
      </c>
      <c r="Y10" s="86"/>
      <c r="Z10" s="86"/>
      <c r="AA10" s="92" t="s">
        <v>245</v>
      </c>
      <c r="AB10" s="86"/>
      <c r="AC10" s="86" t="b">
        <v>0</v>
      </c>
      <c r="AD10" s="86">
        <v>0</v>
      </c>
      <c r="AE10" s="92" t="s">
        <v>246</v>
      </c>
      <c r="AF10" s="86" t="b">
        <v>1</v>
      </c>
      <c r="AG10" s="86" t="s">
        <v>247</v>
      </c>
      <c r="AH10" s="86"/>
      <c r="AI10" s="92" t="s">
        <v>248</v>
      </c>
      <c r="AJ10" s="86" t="b">
        <v>0</v>
      </c>
      <c r="AK10" s="86">
        <v>2</v>
      </c>
      <c r="AL10" s="92" t="s">
        <v>243</v>
      </c>
      <c r="AM10" s="86" t="s">
        <v>250</v>
      </c>
      <c r="AN10" s="86" t="b">
        <v>0</v>
      </c>
      <c r="AO10" s="92" t="s">
        <v>243</v>
      </c>
      <c r="AP10" s="86" t="s">
        <v>176</v>
      </c>
      <c r="AQ10" s="86">
        <v>0</v>
      </c>
      <c r="AR10" s="86">
        <v>0</v>
      </c>
      <c r="AS10" s="86"/>
      <c r="AT10" s="86"/>
      <c r="AU10" s="86"/>
      <c r="AV10" s="86"/>
      <c r="AW10" s="86"/>
      <c r="AX10" s="86"/>
      <c r="AY10" s="86"/>
      <c r="AZ10" s="86"/>
      <c r="BA10">
        <v>1</v>
      </c>
      <c r="BB10" s="85" t="str">
        <f>REPLACE(INDEX(GroupVertices[Group],MATCH(Edges[[#This Row],[Vertex 1]],GroupVertices[Vertex],0)),1,1,"")</f>
        <v>1</v>
      </c>
      <c r="BC10" s="85" t="str">
        <f>REPLACE(INDEX(GroupVertices[Group],MATCH(Edges[[#This Row],[Vertex 2]],GroupVertices[Vertex],0)),1,1,"")</f>
        <v>1</v>
      </c>
      <c r="BD10" s="51"/>
      <c r="BE10" s="52"/>
      <c r="BF10" s="51"/>
      <c r="BG10" s="52"/>
      <c r="BH10" s="51"/>
      <c r="BI10" s="52"/>
      <c r="BJ10" s="51"/>
      <c r="BK10" s="52"/>
      <c r="BL10" s="51"/>
    </row>
    <row r="11" spans="1:64" ht="45">
      <c r="A11" s="84" t="s">
        <v>213</v>
      </c>
      <c r="B11" s="84" t="s">
        <v>221</v>
      </c>
      <c r="C11" s="53" t="s">
        <v>553</v>
      </c>
      <c r="D11" s="54">
        <v>3</v>
      </c>
      <c r="E11" s="65" t="s">
        <v>136</v>
      </c>
      <c r="F11" s="55">
        <v>35</v>
      </c>
      <c r="G11" s="53"/>
      <c r="H11" s="57"/>
      <c r="I11" s="56"/>
      <c r="J11" s="56"/>
      <c r="K11" s="36" t="s">
        <v>65</v>
      </c>
      <c r="L11" s="83">
        <v>11</v>
      </c>
      <c r="M11" s="83"/>
      <c r="N11" s="63"/>
      <c r="O11" s="86" t="s">
        <v>225</v>
      </c>
      <c r="P11" s="88">
        <v>43468.634039351855</v>
      </c>
      <c r="Q11" s="86" t="s">
        <v>227</v>
      </c>
      <c r="R11" s="90" t="s">
        <v>230</v>
      </c>
      <c r="S11" s="86" t="s">
        <v>232</v>
      </c>
      <c r="T11" s="86" t="s">
        <v>234</v>
      </c>
      <c r="U11" s="86"/>
      <c r="V11" s="90" t="s">
        <v>236</v>
      </c>
      <c r="W11" s="88">
        <v>43468.634039351855</v>
      </c>
      <c r="X11" s="90" t="s">
        <v>239</v>
      </c>
      <c r="Y11" s="86"/>
      <c r="Z11" s="86"/>
      <c r="AA11" s="92" t="s">
        <v>243</v>
      </c>
      <c r="AB11" s="86"/>
      <c r="AC11" s="86" t="b">
        <v>0</v>
      </c>
      <c r="AD11" s="86">
        <v>1</v>
      </c>
      <c r="AE11" s="92" t="s">
        <v>246</v>
      </c>
      <c r="AF11" s="86" t="b">
        <v>1</v>
      </c>
      <c r="AG11" s="86" t="s">
        <v>247</v>
      </c>
      <c r="AH11" s="86"/>
      <c r="AI11" s="92" t="s">
        <v>248</v>
      </c>
      <c r="AJ11" s="86" t="b">
        <v>0</v>
      </c>
      <c r="AK11" s="86">
        <v>1</v>
      </c>
      <c r="AL11" s="92" t="s">
        <v>246</v>
      </c>
      <c r="AM11" s="86" t="s">
        <v>250</v>
      </c>
      <c r="AN11" s="86" t="b">
        <v>0</v>
      </c>
      <c r="AO11" s="92" t="s">
        <v>243</v>
      </c>
      <c r="AP11" s="86" t="s">
        <v>176</v>
      </c>
      <c r="AQ11" s="86">
        <v>0</v>
      </c>
      <c r="AR11" s="86">
        <v>0</v>
      </c>
      <c r="AS11" s="86" t="s">
        <v>251</v>
      </c>
      <c r="AT11" s="86" t="s">
        <v>252</v>
      </c>
      <c r="AU11" s="86" t="s">
        <v>253</v>
      </c>
      <c r="AV11" s="86" t="s">
        <v>254</v>
      </c>
      <c r="AW11" s="86" t="s">
        <v>255</v>
      </c>
      <c r="AX11" s="86" t="s">
        <v>256</v>
      </c>
      <c r="AY11" s="86" t="s">
        <v>257</v>
      </c>
      <c r="AZ11" s="90" t="s">
        <v>258</v>
      </c>
      <c r="BA11">
        <v>2</v>
      </c>
      <c r="BB11" s="85" t="str">
        <f>REPLACE(INDEX(GroupVertices[Group],MATCH(Edges[[#This Row],[Vertex 1]],GroupVertices[Vertex],0)),1,1,"")</f>
        <v>2</v>
      </c>
      <c r="BC11" s="85" t="str">
        <f>REPLACE(INDEX(GroupVertices[Group],MATCH(Edges[[#This Row],[Vertex 2]],GroupVertices[Vertex],0)),1,1,"")</f>
        <v>1</v>
      </c>
      <c r="BD11" s="51"/>
      <c r="BE11" s="52"/>
      <c r="BF11" s="51"/>
      <c r="BG11" s="52"/>
      <c r="BH11" s="51"/>
      <c r="BI11" s="52"/>
      <c r="BJ11" s="51"/>
      <c r="BK11" s="52"/>
      <c r="BL11" s="51"/>
    </row>
    <row r="12" spans="1:64" ht="45">
      <c r="A12" s="84" t="s">
        <v>213</v>
      </c>
      <c r="B12" s="84" t="s">
        <v>221</v>
      </c>
      <c r="C12" s="53" t="s">
        <v>553</v>
      </c>
      <c r="D12" s="54">
        <v>3</v>
      </c>
      <c r="E12" s="65" t="s">
        <v>136</v>
      </c>
      <c r="F12" s="55">
        <v>35</v>
      </c>
      <c r="G12" s="53"/>
      <c r="H12" s="57"/>
      <c r="I12" s="56"/>
      <c r="J12" s="56"/>
      <c r="K12" s="36" t="s">
        <v>65</v>
      </c>
      <c r="L12" s="83">
        <v>12</v>
      </c>
      <c r="M12" s="83"/>
      <c r="N12" s="63"/>
      <c r="O12" s="86" t="s">
        <v>225</v>
      </c>
      <c r="P12" s="88">
        <v>43468.85663194444</v>
      </c>
      <c r="Q12" s="86" t="s">
        <v>228</v>
      </c>
      <c r="R12" s="86"/>
      <c r="S12" s="86"/>
      <c r="T12" s="86"/>
      <c r="U12" s="86"/>
      <c r="V12" s="90" t="s">
        <v>236</v>
      </c>
      <c r="W12" s="88">
        <v>43468.85663194444</v>
      </c>
      <c r="X12" s="90" t="s">
        <v>240</v>
      </c>
      <c r="Y12" s="86"/>
      <c r="Z12" s="86"/>
      <c r="AA12" s="92" t="s">
        <v>244</v>
      </c>
      <c r="AB12" s="86"/>
      <c r="AC12" s="86" t="b">
        <v>0</v>
      </c>
      <c r="AD12" s="86">
        <v>0</v>
      </c>
      <c r="AE12" s="92" t="s">
        <v>246</v>
      </c>
      <c r="AF12" s="86" t="b">
        <v>1</v>
      </c>
      <c r="AG12" s="86" t="s">
        <v>247</v>
      </c>
      <c r="AH12" s="86"/>
      <c r="AI12" s="92" t="s">
        <v>248</v>
      </c>
      <c r="AJ12" s="86" t="b">
        <v>0</v>
      </c>
      <c r="AK12" s="86">
        <v>1</v>
      </c>
      <c r="AL12" s="92" t="s">
        <v>243</v>
      </c>
      <c r="AM12" s="86" t="s">
        <v>250</v>
      </c>
      <c r="AN12" s="86" t="b">
        <v>0</v>
      </c>
      <c r="AO12" s="92" t="s">
        <v>243</v>
      </c>
      <c r="AP12" s="86" t="s">
        <v>176</v>
      </c>
      <c r="AQ12" s="86">
        <v>0</v>
      </c>
      <c r="AR12" s="86">
        <v>0</v>
      </c>
      <c r="AS12" s="86"/>
      <c r="AT12" s="86"/>
      <c r="AU12" s="86"/>
      <c r="AV12" s="86"/>
      <c r="AW12" s="86"/>
      <c r="AX12" s="86"/>
      <c r="AY12" s="86"/>
      <c r="AZ12" s="86"/>
      <c r="BA12">
        <v>2</v>
      </c>
      <c r="BB12" s="85" t="str">
        <f>REPLACE(INDEX(GroupVertices[Group],MATCH(Edges[[#This Row],[Vertex 1]],GroupVertices[Vertex],0)),1,1,"")</f>
        <v>2</v>
      </c>
      <c r="BC12" s="85" t="str">
        <f>REPLACE(INDEX(GroupVertices[Group],MATCH(Edges[[#This Row],[Vertex 2]],GroupVertices[Vertex],0)),1,1,"")</f>
        <v>1</v>
      </c>
      <c r="BD12" s="51"/>
      <c r="BE12" s="52"/>
      <c r="BF12" s="51"/>
      <c r="BG12" s="52"/>
      <c r="BH12" s="51"/>
      <c r="BI12" s="52"/>
      <c r="BJ12" s="51"/>
      <c r="BK12" s="52"/>
      <c r="BL12" s="51"/>
    </row>
    <row r="13" spans="1:64" ht="45">
      <c r="A13" s="84" t="s">
        <v>214</v>
      </c>
      <c r="B13" s="84" t="s">
        <v>221</v>
      </c>
      <c r="C13" s="53" t="s">
        <v>553</v>
      </c>
      <c r="D13" s="54">
        <v>3</v>
      </c>
      <c r="E13" s="65" t="s">
        <v>132</v>
      </c>
      <c r="F13" s="55">
        <v>35</v>
      </c>
      <c r="G13" s="53"/>
      <c r="H13" s="57"/>
      <c r="I13" s="56"/>
      <c r="J13" s="56"/>
      <c r="K13" s="36" t="s">
        <v>65</v>
      </c>
      <c r="L13" s="83">
        <v>13</v>
      </c>
      <c r="M13" s="83"/>
      <c r="N13" s="63"/>
      <c r="O13" s="86" t="s">
        <v>225</v>
      </c>
      <c r="P13" s="88">
        <v>43483.88340277778</v>
      </c>
      <c r="Q13" s="86" t="s">
        <v>228</v>
      </c>
      <c r="R13" s="86"/>
      <c r="S13" s="86"/>
      <c r="T13" s="86"/>
      <c r="U13" s="86"/>
      <c r="V13" s="90" t="s">
        <v>237</v>
      </c>
      <c r="W13" s="88">
        <v>43483.88340277778</v>
      </c>
      <c r="X13" s="90" t="s">
        <v>241</v>
      </c>
      <c r="Y13" s="86"/>
      <c r="Z13" s="86"/>
      <c r="AA13" s="92" t="s">
        <v>245</v>
      </c>
      <c r="AB13" s="86"/>
      <c r="AC13" s="86" t="b">
        <v>0</v>
      </c>
      <c r="AD13" s="86">
        <v>0</v>
      </c>
      <c r="AE13" s="92" t="s">
        <v>246</v>
      </c>
      <c r="AF13" s="86" t="b">
        <v>1</v>
      </c>
      <c r="AG13" s="86" t="s">
        <v>247</v>
      </c>
      <c r="AH13" s="86"/>
      <c r="AI13" s="92" t="s">
        <v>248</v>
      </c>
      <c r="AJ13" s="86" t="b">
        <v>0</v>
      </c>
      <c r="AK13" s="86">
        <v>2</v>
      </c>
      <c r="AL13" s="92" t="s">
        <v>243</v>
      </c>
      <c r="AM13" s="86" t="s">
        <v>250</v>
      </c>
      <c r="AN13" s="86" t="b">
        <v>0</v>
      </c>
      <c r="AO13" s="92" t="s">
        <v>243</v>
      </c>
      <c r="AP13" s="86" t="s">
        <v>176</v>
      </c>
      <c r="AQ13" s="86">
        <v>0</v>
      </c>
      <c r="AR13" s="86">
        <v>0</v>
      </c>
      <c r="AS13" s="86"/>
      <c r="AT13" s="86"/>
      <c r="AU13" s="86"/>
      <c r="AV13" s="86"/>
      <c r="AW13" s="86"/>
      <c r="AX13" s="86"/>
      <c r="AY13" s="86"/>
      <c r="AZ13" s="86"/>
      <c r="BA13">
        <v>1</v>
      </c>
      <c r="BB13" s="85" t="str">
        <f>REPLACE(INDEX(GroupVertices[Group],MATCH(Edges[[#This Row],[Vertex 1]],GroupVertices[Vertex],0)),1,1,"")</f>
        <v>1</v>
      </c>
      <c r="BC13" s="85" t="str">
        <f>REPLACE(INDEX(GroupVertices[Group],MATCH(Edges[[#This Row],[Vertex 2]],GroupVertices[Vertex],0)),1,1,"")</f>
        <v>1</v>
      </c>
      <c r="BD13" s="51"/>
      <c r="BE13" s="52"/>
      <c r="BF13" s="51"/>
      <c r="BG13" s="52"/>
      <c r="BH13" s="51"/>
      <c r="BI13" s="52"/>
      <c r="BJ13" s="51"/>
      <c r="BK13" s="52"/>
      <c r="BL13" s="51"/>
    </row>
    <row r="14" spans="1:64" ht="45">
      <c r="A14" s="84" t="s">
        <v>213</v>
      </c>
      <c r="B14" s="84" t="s">
        <v>222</v>
      </c>
      <c r="C14" s="53" t="s">
        <v>553</v>
      </c>
      <c r="D14" s="54">
        <v>3</v>
      </c>
      <c r="E14" s="65" t="s">
        <v>136</v>
      </c>
      <c r="F14" s="55">
        <v>35</v>
      </c>
      <c r="G14" s="53"/>
      <c r="H14" s="57"/>
      <c r="I14" s="56"/>
      <c r="J14" s="56"/>
      <c r="K14" s="36" t="s">
        <v>65</v>
      </c>
      <c r="L14" s="83">
        <v>14</v>
      </c>
      <c r="M14" s="83"/>
      <c r="N14" s="63"/>
      <c r="O14" s="86" t="s">
        <v>225</v>
      </c>
      <c r="P14" s="88">
        <v>43468.634039351855</v>
      </c>
      <c r="Q14" s="86" t="s">
        <v>227</v>
      </c>
      <c r="R14" s="90" t="s">
        <v>230</v>
      </c>
      <c r="S14" s="86" t="s">
        <v>232</v>
      </c>
      <c r="T14" s="86" t="s">
        <v>234</v>
      </c>
      <c r="U14" s="86"/>
      <c r="V14" s="90" t="s">
        <v>236</v>
      </c>
      <c r="W14" s="88">
        <v>43468.634039351855</v>
      </c>
      <c r="X14" s="90" t="s">
        <v>239</v>
      </c>
      <c r="Y14" s="86"/>
      <c r="Z14" s="86"/>
      <c r="AA14" s="92" t="s">
        <v>243</v>
      </c>
      <c r="AB14" s="86"/>
      <c r="AC14" s="86" t="b">
        <v>0</v>
      </c>
      <c r="AD14" s="86">
        <v>1</v>
      </c>
      <c r="AE14" s="92" t="s">
        <v>246</v>
      </c>
      <c r="AF14" s="86" t="b">
        <v>1</v>
      </c>
      <c r="AG14" s="86" t="s">
        <v>247</v>
      </c>
      <c r="AH14" s="86"/>
      <c r="AI14" s="92" t="s">
        <v>248</v>
      </c>
      <c r="AJ14" s="86" t="b">
        <v>0</v>
      </c>
      <c r="AK14" s="86">
        <v>1</v>
      </c>
      <c r="AL14" s="92" t="s">
        <v>246</v>
      </c>
      <c r="AM14" s="86" t="s">
        <v>250</v>
      </c>
      <c r="AN14" s="86" t="b">
        <v>0</v>
      </c>
      <c r="AO14" s="92" t="s">
        <v>243</v>
      </c>
      <c r="AP14" s="86" t="s">
        <v>176</v>
      </c>
      <c r="AQ14" s="86">
        <v>0</v>
      </c>
      <c r="AR14" s="86">
        <v>0</v>
      </c>
      <c r="AS14" s="86" t="s">
        <v>251</v>
      </c>
      <c r="AT14" s="86" t="s">
        <v>252</v>
      </c>
      <c r="AU14" s="86" t="s">
        <v>253</v>
      </c>
      <c r="AV14" s="86" t="s">
        <v>254</v>
      </c>
      <c r="AW14" s="86" t="s">
        <v>255</v>
      </c>
      <c r="AX14" s="86" t="s">
        <v>256</v>
      </c>
      <c r="AY14" s="86" t="s">
        <v>257</v>
      </c>
      <c r="AZ14" s="90" t="s">
        <v>258</v>
      </c>
      <c r="BA14">
        <v>2</v>
      </c>
      <c r="BB14" s="85" t="str">
        <f>REPLACE(INDEX(GroupVertices[Group],MATCH(Edges[[#This Row],[Vertex 1]],GroupVertices[Vertex],0)),1,1,"")</f>
        <v>2</v>
      </c>
      <c r="BC14" s="85" t="str">
        <f>REPLACE(INDEX(GroupVertices[Group],MATCH(Edges[[#This Row],[Vertex 2]],GroupVertices[Vertex],0)),1,1,"")</f>
        <v>1</v>
      </c>
      <c r="BD14" s="51"/>
      <c r="BE14" s="52"/>
      <c r="BF14" s="51"/>
      <c r="BG14" s="52"/>
      <c r="BH14" s="51"/>
      <c r="BI14" s="52"/>
      <c r="BJ14" s="51"/>
      <c r="BK14" s="52"/>
      <c r="BL14" s="51"/>
    </row>
    <row r="15" spans="1:64" ht="45">
      <c r="A15" s="84" t="s">
        <v>213</v>
      </c>
      <c r="B15" s="84" t="s">
        <v>222</v>
      </c>
      <c r="C15" s="53" t="s">
        <v>553</v>
      </c>
      <c r="D15" s="54">
        <v>3</v>
      </c>
      <c r="E15" s="65" t="s">
        <v>136</v>
      </c>
      <c r="F15" s="55">
        <v>35</v>
      </c>
      <c r="G15" s="53"/>
      <c r="H15" s="57"/>
      <c r="I15" s="56"/>
      <c r="J15" s="56"/>
      <c r="K15" s="36" t="s">
        <v>65</v>
      </c>
      <c r="L15" s="83">
        <v>15</v>
      </c>
      <c r="M15" s="83"/>
      <c r="N15" s="63"/>
      <c r="O15" s="86" t="s">
        <v>225</v>
      </c>
      <c r="P15" s="88">
        <v>43468.85663194444</v>
      </c>
      <c r="Q15" s="86" t="s">
        <v>228</v>
      </c>
      <c r="R15" s="86"/>
      <c r="S15" s="86"/>
      <c r="T15" s="86"/>
      <c r="U15" s="86"/>
      <c r="V15" s="90" t="s">
        <v>236</v>
      </c>
      <c r="W15" s="88">
        <v>43468.85663194444</v>
      </c>
      <c r="X15" s="90" t="s">
        <v>240</v>
      </c>
      <c r="Y15" s="86"/>
      <c r="Z15" s="86"/>
      <c r="AA15" s="92" t="s">
        <v>244</v>
      </c>
      <c r="AB15" s="86"/>
      <c r="AC15" s="86" t="b">
        <v>0</v>
      </c>
      <c r="AD15" s="86">
        <v>0</v>
      </c>
      <c r="AE15" s="92" t="s">
        <v>246</v>
      </c>
      <c r="AF15" s="86" t="b">
        <v>1</v>
      </c>
      <c r="AG15" s="86" t="s">
        <v>247</v>
      </c>
      <c r="AH15" s="86"/>
      <c r="AI15" s="92" t="s">
        <v>248</v>
      </c>
      <c r="AJ15" s="86" t="b">
        <v>0</v>
      </c>
      <c r="AK15" s="86">
        <v>1</v>
      </c>
      <c r="AL15" s="92" t="s">
        <v>243</v>
      </c>
      <c r="AM15" s="86" t="s">
        <v>250</v>
      </c>
      <c r="AN15" s="86" t="b">
        <v>0</v>
      </c>
      <c r="AO15" s="92" t="s">
        <v>243</v>
      </c>
      <c r="AP15" s="86" t="s">
        <v>176</v>
      </c>
      <c r="AQ15" s="86">
        <v>0</v>
      </c>
      <c r="AR15" s="86">
        <v>0</v>
      </c>
      <c r="AS15" s="86"/>
      <c r="AT15" s="86"/>
      <c r="AU15" s="86"/>
      <c r="AV15" s="86"/>
      <c r="AW15" s="86"/>
      <c r="AX15" s="86"/>
      <c r="AY15" s="86"/>
      <c r="AZ15" s="86"/>
      <c r="BA15">
        <v>2</v>
      </c>
      <c r="BB15" s="85" t="str">
        <f>REPLACE(INDEX(GroupVertices[Group],MATCH(Edges[[#This Row],[Vertex 1]],GroupVertices[Vertex],0)),1,1,"")</f>
        <v>2</v>
      </c>
      <c r="BC15" s="85" t="str">
        <f>REPLACE(INDEX(GroupVertices[Group],MATCH(Edges[[#This Row],[Vertex 2]],GroupVertices[Vertex],0)),1,1,"")</f>
        <v>1</v>
      </c>
      <c r="BD15" s="51"/>
      <c r="BE15" s="52"/>
      <c r="BF15" s="51"/>
      <c r="BG15" s="52"/>
      <c r="BH15" s="51"/>
      <c r="BI15" s="52"/>
      <c r="BJ15" s="51"/>
      <c r="BK15" s="52"/>
      <c r="BL15" s="51"/>
    </row>
    <row r="16" spans="1:64" ht="45">
      <c r="A16" s="84" t="s">
        <v>214</v>
      </c>
      <c r="B16" s="84" t="s">
        <v>222</v>
      </c>
      <c r="C16" s="53" t="s">
        <v>553</v>
      </c>
      <c r="D16" s="54">
        <v>3</v>
      </c>
      <c r="E16" s="65" t="s">
        <v>132</v>
      </c>
      <c r="F16" s="55">
        <v>35</v>
      </c>
      <c r="G16" s="53"/>
      <c r="H16" s="57"/>
      <c r="I16" s="56"/>
      <c r="J16" s="56"/>
      <c r="K16" s="36" t="s">
        <v>65</v>
      </c>
      <c r="L16" s="83">
        <v>16</v>
      </c>
      <c r="M16" s="83"/>
      <c r="N16" s="63"/>
      <c r="O16" s="86" t="s">
        <v>225</v>
      </c>
      <c r="P16" s="88">
        <v>43483.88340277778</v>
      </c>
      <c r="Q16" s="86" t="s">
        <v>228</v>
      </c>
      <c r="R16" s="86"/>
      <c r="S16" s="86"/>
      <c r="T16" s="86"/>
      <c r="U16" s="86"/>
      <c r="V16" s="90" t="s">
        <v>237</v>
      </c>
      <c r="W16" s="88">
        <v>43483.88340277778</v>
      </c>
      <c r="X16" s="90" t="s">
        <v>241</v>
      </c>
      <c r="Y16" s="86"/>
      <c r="Z16" s="86"/>
      <c r="AA16" s="92" t="s">
        <v>245</v>
      </c>
      <c r="AB16" s="86"/>
      <c r="AC16" s="86" t="b">
        <v>0</v>
      </c>
      <c r="AD16" s="86">
        <v>0</v>
      </c>
      <c r="AE16" s="92" t="s">
        <v>246</v>
      </c>
      <c r="AF16" s="86" t="b">
        <v>1</v>
      </c>
      <c r="AG16" s="86" t="s">
        <v>247</v>
      </c>
      <c r="AH16" s="86"/>
      <c r="AI16" s="92" t="s">
        <v>248</v>
      </c>
      <c r="AJ16" s="86" t="b">
        <v>0</v>
      </c>
      <c r="AK16" s="86">
        <v>2</v>
      </c>
      <c r="AL16" s="92" t="s">
        <v>243</v>
      </c>
      <c r="AM16" s="86" t="s">
        <v>250</v>
      </c>
      <c r="AN16" s="86" t="b">
        <v>0</v>
      </c>
      <c r="AO16" s="92" t="s">
        <v>243</v>
      </c>
      <c r="AP16" s="86" t="s">
        <v>176</v>
      </c>
      <c r="AQ16" s="86">
        <v>0</v>
      </c>
      <c r="AR16" s="86">
        <v>0</v>
      </c>
      <c r="AS16" s="86"/>
      <c r="AT16" s="86"/>
      <c r="AU16" s="86"/>
      <c r="AV16" s="86"/>
      <c r="AW16" s="86"/>
      <c r="AX16" s="86"/>
      <c r="AY16" s="86"/>
      <c r="AZ16" s="86"/>
      <c r="BA16">
        <v>1</v>
      </c>
      <c r="BB16" s="85" t="str">
        <f>REPLACE(INDEX(GroupVertices[Group],MATCH(Edges[[#This Row],[Vertex 1]],GroupVertices[Vertex],0)),1,1,"")</f>
        <v>1</v>
      </c>
      <c r="BC16" s="85" t="str">
        <f>REPLACE(INDEX(GroupVertices[Group],MATCH(Edges[[#This Row],[Vertex 2]],GroupVertices[Vertex],0)),1,1,"")</f>
        <v>1</v>
      </c>
      <c r="BD16" s="51"/>
      <c r="BE16" s="52"/>
      <c r="BF16" s="51"/>
      <c r="BG16" s="52"/>
      <c r="BH16" s="51"/>
      <c r="BI16" s="52"/>
      <c r="BJ16" s="51"/>
      <c r="BK16" s="52"/>
      <c r="BL16" s="51"/>
    </row>
    <row r="17" spans="1:64" ht="45">
      <c r="A17" s="84" t="s">
        <v>213</v>
      </c>
      <c r="B17" s="84" t="s">
        <v>223</v>
      </c>
      <c r="C17" s="53" t="s">
        <v>553</v>
      </c>
      <c r="D17" s="54">
        <v>3</v>
      </c>
      <c r="E17" s="65" t="s">
        <v>136</v>
      </c>
      <c r="F17" s="55">
        <v>35</v>
      </c>
      <c r="G17" s="53"/>
      <c r="H17" s="57"/>
      <c r="I17" s="56"/>
      <c r="J17" s="56"/>
      <c r="K17" s="36" t="s">
        <v>65</v>
      </c>
      <c r="L17" s="83">
        <v>17</v>
      </c>
      <c r="M17" s="83"/>
      <c r="N17" s="63"/>
      <c r="O17" s="86" t="s">
        <v>225</v>
      </c>
      <c r="P17" s="88">
        <v>43468.634039351855</v>
      </c>
      <c r="Q17" s="86" t="s">
        <v>227</v>
      </c>
      <c r="R17" s="90" t="s">
        <v>230</v>
      </c>
      <c r="S17" s="86" t="s">
        <v>232</v>
      </c>
      <c r="T17" s="86" t="s">
        <v>234</v>
      </c>
      <c r="U17" s="86"/>
      <c r="V17" s="90" t="s">
        <v>236</v>
      </c>
      <c r="W17" s="88">
        <v>43468.634039351855</v>
      </c>
      <c r="X17" s="90" t="s">
        <v>239</v>
      </c>
      <c r="Y17" s="86"/>
      <c r="Z17" s="86"/>
      <c r="AA17" s="92" t="s">
        <v>243</v>
      </c>
      <c r="AB17" s="86"/>
      <c r="AC17" s="86" t="b">
        <v>0</v>
      </c>
      <c r="AD17" s="86">
        <v>1</v>
      </c>
      <c r="AE17" s="92" t="s">
        <v>246</v>
      </c>
      <c r="AF17" s="86" t="b">
        <v>1</v>
      </c>
      <c r="AG17" s="86" t="s">
        <v>247</v>
      </c>
      <c r="AH17" s="86"/>
      <c r="AI17" s="92" t="s">
        <v>248</v>
      </c>
      <c r="AJ17" s="86" t="b">
        <v>0</v>
      </c>
      <c r="AK17" s="86">
        <v>1</v>
      </c>
      <c r="AL17" s="92" t="s">
        <v>246</v>
      </c>
      <c r="AM17" s="86" t="s">
        <v>250</v>
      </c>
      <c r="AN17" s="86" t="b">
        <v>0</v>
      </c>
      <c r="AO17" s="92" t="s">
        <v>243</v>
      </c>
      <c r="AP17" s="86" t="s">
        <v>176</v>
      </c>
      <c r="AQ17" s="86">
        <v>0</v>
      </c>
      <c r="AR17" s="86">
        <v>0</v>
      </c>
      <c r="AS17" s="86" t="s">
        <v>251</v>
      </c>
      <c r="AT17" s="86" t="s">
        <v>252</v>
      </c>
      <c r="AU17" s="86" t="s">
        <v>253</v>
      </c>
      <c r="AV17" s="86" t="s">
        <v>254</v>
      </c>
      <c r="AW17" s="86" t="s">
        <v>255</v>
      </c>
      <c r="AX17" s="86" t="s">
        <v>256</v>
      </c>
      <c r="AY17" s="86" t="s">
        <v>257</v>
      </c>
      <c r="AZ17" s="90" t="s">
        <v>258</v>
      </c>
      <c r="BA17">
        <v>2</v>
      </c>
      <c r="BB17" s="85" t="str">
        <f>REPLACE(INDEX(GroupVertices[Group],MATCH(Edges[[#This Row],[Vertex 1]],GroupVertices[Vertex],0)),1,1,"")</f>
        <v>2</v>
      </c>
      <c r="BC17" s="85" t="str">
        <f>REPLACE(INDEX(GroupVertices[Group],MATCH(Edges[[#This Row],[Vertex 2]],GroupVertices[Vertex],0)),1,1,"")</f>
        <v>1</v>
      </c>
      <c r="BD17" s="51"/>
      <c r="BE17" s="52"/>
      <c r="BF17" s="51"/>
      <c r="BG17" s="52"/>
      <c r="BH17" s="51"/>
      <c r="BI17" s="52"/>
      <c r="BJ17" s="51"/>
      <c r="BK17" s="52"/>
      <c r="BL17" s="51"/>
    </row>
    <row r="18" spans="1:64" ht="45">
      <c r="A18" s="84" t="s">
        <v>213</v>
      </c>
      <c r="B18" s="84" t="s">
        <v>223</v>
      </c>
      <c r="C18" s="53" t="s">
        <v>553</v>
      </c>
      <c r="D18" s="54">
        <v>3</v>
      </c>
      <c r="E18" s="65" t="s">
        <v>136</v>
      </c>
      <c r="F18" s="55">
        <v>35</v>
      </c>
      <c r="G18" s="53"/>
      <c r="H18" s="57"/>
      <c r="I18" s="56"/>
      <c r="J18" s="56"/>
      <c r="K18" s="36" t="s">
        <v>65</v>
      </c>
      <c r="L18" s="83">
        <v>18</v>
      </c>
      <c r="M18" s="83"/>
      <c r="N18" s="63"/>
      <c r="O18" s="86" t="s">
        <v>225</v>
      </c>
      <c r="P18" s="88">
        <v>43468.85663194444</v>
      </c>
      <c r="Q18" s="86" t="s">
        <v>228</v>
      </c>
      <c r="R18" s="86"/>
      <c r="S18" s="86"/>
      <c r="T18" s="86"/>
      <c r="U18" s="86"/>
      <c r="V18" s="90" t="s">
        <v>236</v>
      </c>
      <c r="W18" s="88">
        <v>43468.85663194444</v>
      </c>
      <c r="X18" s="90" t="s">
        <v>240</v>
      </c>
      <c r="Y18" s="86"/>
      <c r="Z18" s="86"/>
      <c r="AA18" s="92" t="s">
        <v>244</v>
      </c>
      <c r="AB18" s="86"/>
      <c r="AC18" s="86" t="b">
        <v>0</v>
      </c>
      <c r="AD18" s="86">
        <v>0</v>
      </c>
      <c r="AE18" s="92" t="s">
        <v>246</v>
      </c>
      <c r="AF18" s="86" t="b">
        <v>1</v>
      </c>
      <c r="AG18" s="86" t="s">
        <v>247</v>
      </c>
      <c r="AH18" s="86"/>
      <c r="AI18" s="92" t="s">
        <v>248</v>
      </c>
      <c r="AJ18" s="86" t="b">
        <v>0</v>
      </c>
      <c r="AK18" s="86">
        <v>1</v>
      </c>
      <c r="AL18" s="92" t="s">
        <v>243</v>
      </c>
      <c r="AM18" s="86" t="s">
        <v>250</v>
      </c>
      <c r="AN18" s="86" t="b">
        <v>0</v>
      </c>
      <c r="AO18" s="92" t="s">
        <v>243</v>
      </c>
      <c r="AP18" s="86" t="s">
        <v>176</v>
      </c>
      <c r="AQ18" s="86">
        <v>0</v>
      </c>
      <c r="AR18" s="86">
        <v>0</v>
      </c>
      <c r="AS18" s="86"/>
      <c r="AT18" s="86"/>
      <c r="AU18" s="86"/>
      <c r="AV18" s="86"/>
      <c r="AW18" s="86"/>
      <c r="AX18" s="86"/>
      <c r="AY18" s="86"/>
      <c r="AZ18" s="86"/>
      <c r="BA18">
        <v>2</v>
      </c>
      <c r="BB18" s="85" t="str">
        <f>REPLACE(INDEX(GroupVertices[Group],MATCH(Edges[[#This Row],[Vertex 1]],GroupVertices[Vertex],0)),1,1,"")</f>
        <v>2</v>
      </c>
      <c r="BC18" s="85" t="str">
        <f>REPLACE(INDEX(GroupVertices[Group],MATCH(Edges[[#This Row],[Vertex 2]],GroupVertices[Vertex],0)),1,1,"")</f>
        <v>1</v>
      </c>
      <c r="BD18" s="51"/>
      <c r="BE18" s="52"/>
      <c r="BF18" s="51"/>
      <c r="BG18" s="52"/>
      <c r="BH18" s="51"/>
      <c r="BI18" s="52"/>
      <c r="BJ18" s="51"/>
      <c r="BK18" s="52"/>
      <c r="BL18" s="51"/>
    </row>
    <row r="19" spans="1:64" ht="45">
      <c r="A19" s="84" t="s">
        <v>214</v>
      </c>
      <c r="B19" s="84" t="s">
        <v>223</v>
      </c>
      <c r="C19" s="53" t="s">
        <v>553</v>
      </c>
      <c r="D19" s="54">
        <v>3</v>
      </c>
      <c r="E19" s="65" t="s">
        <v>132</v>
      </c>
      <c r="F19" s="55">
        <v>35</v>
      </c>
      <c r="G19" s="53"/>
      <c r="H19" s="57"/>
      <c r="I19" s="56"/>
      <c r="J19" s="56"/>
      <c r="K19" s="36" t="s">
        <v>65</v>
      </c>
      <c r="L19" s="83">
        <v>19</v>
      </c>
      <c r="M19" s="83"/>
      <c r="N19" s="63"/>
      <c r="O19" s="86" t="s">
        <v>225</v>
      </c>
      <c r="P19" s="88">
        <v>43483.88340277778</v>
      </c>
      <c r="Q19" s="86" t="s">
        <v>228</v>
      </c>
      <c r="R19" s="86"/>
      <c r="S19" s="86"/>
      <c r="T19" s="86"/>
      <c r="U19" s="86"/>
      <c r="V19" s="90" t="s">
        <v>237</v>
      </c>
      <c r="W19" s="88">
        <v>43483.88340277778</v>
      </c>
      <c r="X19" s="90" t="s">
        <v>241</v>
      </c>
      <c r="Y19" s="86"/>
      <c r="Z19" s="86"/>
      <c r="AA19" s="92" t="s">
        <v>245</v>
      </c>
      <c r="AB19" s="86"/>
      <c r="AC19" s="86" t="b">
        <v>0</v>
      </c>
      <c r="AD19" s="86">
        <v>0</v>
      </c>
      <c r="AE19" s="92" t="s">
        <v>246</v>
      </c>
      <c r="AF19" s="86" t="b">
        <v>1</v>
      </c>
      <c r="AG19" s="86" t="s">
        <v>247</v>
      </c>
      <c r="AH19" s="86"/>
      <c r="AI19" s="92" t="s">
        <v>248</v>
      </c>
      <c r="AJ19" s="86" t="b">
        <v>0</v>
      </c>
      <c r="AK19" s="86">
        <v>2</v>
      </c>
      <c r="AL19" s="92" t="s">
        <v>243</v>
      </c>
      <c r="AM19" s="86" t="s">
        <v>250</v>
      </c>
      <c r="AN19" s="86" t="b">
        <v>0</v>
      </c>
      <c r="AO19" s="92" t="s">
        <v>243</v>
      </c>
      <c r="AP19" s="86" t="s">
        <v>176</v>
      </c>
      <c r="AQ19" s="86">
        <v>0</v>
      </c>
      <c r="AR19" s="86">
        <v>0</v>
      </c>
      <c r="AS19" s="86"/>
      <c r="AT19" s="86"/>
      <c r="AU19" s="86"/>
      <c r="AV19" s="86"/>
      <c r="AW19" s="86"/>
      <c r="AX19" s="86"/>
      <c r="AY19" s="86"/>
      <c r="AZ19" s="86"/>
      <c r="BA19">
        <v>1</v>
      </c>
      <c r="BB19" s="85" t="str">
        <f>REPLACE(INDEX(GroupVertices[Group],MATCH(Edges[[#This Row],[Vertex 1]],GroupVertices[Vertex],0)),1,1,"")</f>
        <v>1</v>
      </c>
      <c r="BC19" s="85" t="str">
        <f>REPLACE(INDEX(GroupVertices[Group],MATCH(Edges[[#This Row],[Vertex 2]],GroupVertices[Vertex],0)),1,1,"")</f>
        <v>1</v>
      </c>
      <c r="BD19" s="51"/>
      <c r="BE19" s="52"/>
      <c r="BF19" s="51"/>
      <c r="BG19" s="52"/>
      <c r="BH19" s="51"/>
      <c r="BI19" s="52"/>
      <c r="BJ19" s="51"/>
      <c r="BK19" s="52"/>
      <c r="BL19" s="51"/>
    </row>
    <row r="20" spans="1:64" ht="45">
      <c r="A20" s="84" t="s">
        <v>213</v>
      </c>
      <c r="B20" s="84" t="s">
        <v>224</v>
      </c>
      <c r="C20" s="53" t="s">
        <v>553</v>
      </c>
      <c r="D20" s="54">
        <v>3</v>
      </c>
      <c r="E20" s="65" t="s">
        <v>136</v>
      </c>
      <c r="F20" s="55">
        <v>35</v>
      </c>
      <c r="G20" s="53"/>
      <c r="H20" s="57"/>
      <c r="I20" s="56"/>
      <c r="J20" s="56"/>
      <c r="K20" s="36" t="s">
        <v>65</v>
      </c>
      <c r="L20" s="83">
        <v>20</v>
      </c>
      <c r="M20" s="83"/>
      <c r="N20" s="63"/>
      <c r="O20" s="86" t="s">
        <v>225</v>
      </c>
      <c r="P20" s="88">
        <v>43468.634039351855</v>
      </c>
      <c r="Q20" s="86" t="s">
        <v>227</v>
      </c>
      <c r="R20" s="90" t="s">
        <v>230</v>
      </c>
      <c r="S20" s="86" t="s">
        <v>232</v>
      </c>
      <c r="T20" s="86" t="s">
        <v>234</v>
      </c>
      <c r="U20" s="86"/>
      <c r="V20" s="90" t="s">
        <v>236</v>
      </c>
      <c r="W20" s="88">
        <v>43468.634039351855</v>
      </c>
      <c r="X20" s="90" t="s">
        <v>239</v>
      </c>
      <c r="Y20" s="86"/>
      <c r="Z20" s="86"/>
      <c r="AA20" s="92" t="s">
        <v>243</v>
      </c>
      <c r="AB20" s="86"/>
      <c r="AC20" s="86" t="b">
        <v>0</v>
      </c>
      <c r="AD20" s="86">
        <v>1</v>
      </c>
      <c r="AE20" s="92" t="s">
        <v>246</v>
      </c>
      <c r="AF20" s="86" t="b">
        <v>1</v>
      </c>
      <c r="AG20" s="86" t="s">
        <v>247</v>
      </c>
      <c r="AH20" s="86"/>
      <c r="AI20" s="92" t="s">
        <v>248</v>
      </c>
      <c r="AJ20" s="86" t="b">
        <v>0</v>
      </c>
      <c r="AK20" s="86">
        <v>1</v>
      </c>
      <c r="AL20" s="92" t="s">
        <v>246</v>
      </c>
      <c r="AM20" s="86" t="s">
        <v>250</v>
      </c>
      <c r="AN20" s="86" t="b">
        <v>0</v>
      </c>
      <c r="AO20" s="92" t="s">
        <v>243</v>
      </c>
      <c r="AP20" s="86" t="s">
        <v>176</v>
      </c>
      <c r="AQ20" s="86">
        <v>0</v>
      </c>
      <c r="AR20" s="86">
        <v>0</v>
      </c>
      <c r="AS20" s="86" t="s">
        <v>251</v>
      </c>
      <c r="AT20" s="86" t="s">
        <v>252</v>
      </c>
      <c r="AU20" s="86" t="s">
        <v>253</v>
      </c>
      <c r="AV20" s="86" t="s">
        <v>254</v>
      </c>
      <c r="AW20" s="86" t="s">
        <v>255</v>
      </c>
      <c r="AX20" s="86" t="s">
        <v>256</v>
      </c>
      <c r="AY20" s="86" t="s">
        <v>257</v>
      </c>
      <c r="AZ20" s="90" t="s">
        <v>258</v>
      </c>
      <c r="BA20">
        <v>2</v>
      </c>
      <c r="BB20" s="85" t="str">
        <f>REPLACE(INDEX(GroupVertices[Group],MATCH(Edges[[#This Row],[Vertex 1]],GroupVertices[Vertex],0)),1,1,"")</f>
        <v>2</v>
      </c>
      <c r="BC20" s="85" t="str">
        <f>REPLACE(INDEX(GroupVertices[Group],MATCH(Edges[[#This Row],[Vertex 2]],GroupVertices[Vertex],0)),1,1,"")</f>
        <v>1</v>
      </c>
      <c r="BD20" s="51">
        <v>3</v>
      </c>
      <c r="BE20" s="52">
        <v>9.375</v>
      </c>
      <c r="BF20" s="51">
        <v>0</v>
      </c>
      <c r="BG20" s="52">
        <v>0</v>
      </c>
      <c r="BH20" s="51">
        <v>0</v>
      </c>
      <c r="BI20" s="52">
        <v>0</v>
      </c>
      <c r="BJ20" s="51">
        <v>29</v>
      </c>
      <c r="BK20" s="52">
        <v>90.625</v>
      </c>
      <c r="BL20" s="51">
        <v>32</v>
      </c>
    </row>
    <row r="21" spans="1:64" ht="45">
      <c r="A21" s="84" t="s">
        <v>213</v>
      </c>
      <c r="B21" s="84" t="s">
        <v>224</v>
      </c>
      <c r="C21" s="53" t="s">
        <v>553</v>
      </c>
      <c r="D21" s="54">
        <v>3</v>
      </c>
      <c r="E21" s="65" t="s">
        <v>136</v>
      </c>
      <c r="F21" s="55">
        <v>35</v>
      </c>
      <c r="G21" s="53"/>
      <c r="H21" s="57"/>
      <c r="I21" s="56"/>
      <c r="J21" s="56"/>
      <c r="K21" s="36" t="s">
        <v>65</v>
      </c>
      <c r="L21" s="83">
        <v>21</v>
      </c>
      <c r="M21" s="83"/>
      <c r="N21" s="63"/>
      <c r="O21" s="86" t="s">
        <v>225</v>
      </c>
      <c r="P21" s="88">
        <v>43468.85663194444</v>
      </c>
      <c r="Q21" s="86" t="s">
        <v>228</v>
      </c>
      <c r="R21" s="86"/>
      <c r="S21" s="86"/>
      <c r="T21" s="86"/>
      <c r="U21" s="86"/>
      <c r="V21" s="90" t="s">
        <v>236</v>
      </c>
      <c r="W21" s="88">
        <v>43468.85663194444</v>
      </c>
      <c r="X21" s="90" t="s">
        <v>240</v>
      </c>
      <c r="Y21" s="86"/>
      <c r="Z21" s="86"/>
      <c r="AA21" s="92" t="s">
        <v>244</v>
      </c>
      <c r="AB21" s="86"/>
      <c r="AC21" s="86" t="b">
        <v>0</v>
      </c>
      <c r="AD21" s="86">
        <v>0</v>
      </c>
      <c r="AE21" s="92" t="s">
        <v>246</v>
      </c>
      <c r="AF21" s="86" t="b">
        <v>1</v>
      </c>
      <c r="AG21" s="86" t="s">
        <v>247</v>
      </c>
      <c r="AH21" s="86"/>
      <c r="AI21" s="92" t="s">
        <v>248</v>
      </c>
      <c r="AJ21" s="86" t="b">
        <v>0</v>
      </c>
      <c r="AK21" s="86">
        <v>1</v>
      </c>
      <c r="AL21" s="92" t="s">
        <v>243</v>
      </c>
      <c r="AM21" s="86" t="s">
        <v>250</v>
      </c>
      <c r="AN21" s="86" t="b">
        <v>0</v>
      </c>
      <c r="AO21" s="92" t="s">
        <v>243</v>
      </c>
      <c r="AP21" s="86" t="s">
        <v>176</v>
      </c>
      <c r="AQ21" s="86">
        <v>0</v>
      </c>
      <c r="AR21" s="86">
        <v>0</v>
      </c>
      <c r="AS21" s="86"/>
      <c r="AT21" s="86"/>
      <c r="AU21" s="86"/>
      <c r="AV21" s="86"/>
      <c r="AW21" s="86"/>
      <c r="AX21" s="86"/>
      <c r="AY21" s="86"/>
      <c r="AZ21" s="86"/>
      <c r="BA21">
        <v>2</v>
      </c>
      <c r="BB21" s="85" t="str">
        <f>REPLACE(INDEX(GroupVertices[Group],MATCH(Edges[[#This Row],[Vertex 1]],GroupVertices[Vertex],0)),1,1,"")</f>
        <v>2</v>
      </c>
      <c r="BC21" s="85" t="str">
        <f>REPLACE(INDEX(GroupVertices[Group],MATCH(Edges[[#This Row],[Vertex 2]],GroupVertices[Vertex],0)),1,1,"")</f>
        <v>1</v>
      </c>
      <c r="BD21" s="51">
        <v>1</v>
      </c>
      <c r="BE21" s="52">
        <v>6.25</v>
      </c>
      <c r="BF21" s="51">
        <v>0</v>
      </c>
      <c r="BG21" s="52">
        <v>0</v>
      </c>
      <c r="BH21" s="51">
        <v>0</v>
      </c>
      <c r="BI21" s="52">
        <v>0</v>
      </c>
      <c r="BJ21" s="51">
        <v>15</v>
      </c>
      <c r="BK21" s="52">
        <v>93.75</v>
      </c>
      <c r="BL21" s="51">
        <v>16</v>
      </c>
    </row>
    <row r="22" spans="1:64" ht="45">
      <c r="A22" s="84" t="s">
        <v>214</v>
      </c>
      <c r="B22" s="84" t="s">
        <v>224</v>
      </c>
      <c r="C22" s="53" t="s">
        <v>553</v>
      </c>
      <c r="D22" s="54">
        <v>3</v>
      </c>
      <c r="E22" s="65" t="s">
        <v>132</v>
      </c>
      <c r="F22" s="55">
        <v>35</v>
      </c>
      <c r="G22" s="53"/>
      <c r="H22" s="57"/>
      <c r="I22" s="56"/>
      <c r="J22" s="56"/>
      <c r="K22" s="36" t="s">
        <v>65</v>
      </c>
      <c r="L22" s="83">
        <v>22</v>
      </c>
      <c r="M22" s="83"/>
      <c r="N22" s="63"/>
      <c r="O22" s="86" t="s">
        <v>225</v>
      </c>
      <c r="P22" s="88">
        <v>43483.88340277778</v>
      </c>
      <c r="Q22" s="86" t="s">
        <v>228</v>
      </c>
      <c r="R22" s="86"/>
      <c r="S22" s="86"/>
      <c r="T22" s="86"/>
      <c r="U22" s="86"/>
      <c r="V22" s="90" t="s">
        <v>237</v>
      </c>
      <c r="W22" s="88">
        <v>43483.88340277778</v>
      </c>
      <c r="X22" s="90" t="s">
        <v>241</v>
      </c>
      <c r="Y22" s="86"/>
      <c r="Z22" s="86"/>
      <c r="AA22" s="92" t="s">
        <v>245</v>
      </c>
      <c r="AB22" s="86"/>
      <c r="AC22" s="86" t="b">
        <v>0</v>
      </c>
      <c r="AD22" s="86">
        <v>0</v>
      </c>
      <c r="AE22" s="92" t="s">
        <v>246</v>
      </c>
      <c r="AF22" s="86" t="b">
        <v>1</v>
      </c>
      <c r="AG22" s="86" t="s">
        <v>247</v>
      </c>
      <c r="AH22" s="86"/>
      <c r="AI22" s="92" t="s">
        <v>248</v>
      </c>
      <c r="AJ22" s="86" t="b">
        <v>0</v>
      </c>
      <c r="AK22" s="86">
        <v>2</v>
      </c>
      <c r="AL22" s="92" t="s">
        <v>243</v>
      </c>
      <c r="AM22" s="86" t="s">
        <v>250</v>
      </c>
      <c r="AN22" s="86" t="b">
        <v>0</v>
      </c>
      <c r="AO22" s="92" t="s">
        <v>243</v>
      </c>
      <c r="AP22" s="86" t="s">
        <v>176</v>
      </c>
      <c r="AQ22" s="86">
        <v>0</v>
      </c>
      <c r="AR22" s="86">
        <v>0</v>
      </c>
      <c r="AS22" s="86"/>
      <c r="AT22" s="86"/>
      <c r="AU22" s="86"/>
      <c r="AV22" s="86"/>
      <c r="AW22" s="86"/>
      <c r="AX22" s="86"/>
      <c r="AY22" s="86"/>
      <c r="AZ22" s="86"/>
      <c r="BA22">
        <v>1</v>
      </c>
      <c r="BB22" s="85" t="str">
        <f>REPLACE(INDEX(GroupVertices[Group],MATCH(Edges[[#This Row],[Vertex 1]],GroupVertices[Vertex],0)),1,1,"")</f>
        <v>1</v>
      </c>
      <c r="BC22" s="85" t="str">
        <f>REPLACE(INDEX(GroupVertices[Group],MATCH(Edges[[#This Row],[Vertex 2]],GroupVertices[Vertex],0)),1,1,"")</f>
        <v>1</v>
      </c>
      <c r="BD22" s="51">
        <v>1</v>
      </c>
      <c r="BE22" s="52">
        <v>6.25</v>
      </c>
      <c r="BF22" s="51">
        <v>0</v>
      </c>
      <c r="BG22" s="52">
        <v>0</v>
      </c>
      <c r="BH22" s="51">
        <v>0</v>
      </c>
      <c r="BI22" s="52">
        <v>0</v>
      </c>
      <c r="BJ22" s="51">
        <v>15</v>
      </c>
      <c r="BK22" s="52">
        <v>93.75</v>
      </c>
      <c r="BL22" s="51">
        <v>16</v>
      </c>
    </row>
    <row r="23" spans="1:64" ht="45">
      <c r="A23" s="84" t="s">
        <v>213</v>
      </c>
      <c r="B23" s="84" t="s">
        <v>214</v>
      </c>
      <c r="C23" s="53" t="s">
        <v>553</v>
      </c>
      <c r="D23" s="54">
        <v>3</v>
      </c>
      <c r="E23" s="65" t="s">
        <v>136</v>
      </c>
      <c r="F23" s="55">
        <v>35</v>
      </c>
      <c r="G23" s="53"/>
      <c r="H23" s="57"/>
      <c r="I23" s="56"/>
      <c r="J23" s="56"/>
      <c r="K23" s="36" t="s">
        <v>66</v>
      </c>
      <c r="L23" s="83">
        <v>23</v>
      </c>
      <c r="M23" s="83"/>
      <c r="N23" s="63"/>
      <c r="O23" s="86" t="s">
        <v>225</v>
      </c>
      <c r="P23" s="88">
        <v>43468.634039351855</v>
      </c>
      <c r="Q23" s="86" t="s">
        <v>227</v>
      </c>
      <c r="R23" s="90" t="s">
        <v>230</v>
      </c>
      <c r="S23" s="86" t="s">
        <v>232</v>
      </c>
      <c r="T23" s="86" t="s">
        <v>234</v>
      </c>
      <c r="U23" s="86"/>
      <c r="V23" s="90" t="s">
        <v>236</v>
      </c>
      <c r="W23" s="88">
        <v>43468.634039351855</v>
      </c>
      <c r="X23" s="90" t="s">
        <v>239</v>
      </c>
      <c r="Y23" s="86"/>
      <c r="Z23" s="86"/>
      <c r="AA23" s="92" t="s">
        <v>243</v>
      </c>
      <c r="AB23" s="86"/>
      <c r="AC23" s="86" t="b">
        <v>0</v>
      </c>
      <c r="AD23" s="86">
        <v>1</v>
      </c>
      <c r="AE23" s="92" t="s">
        <v>246</v>
      </c>
      <c r="AF23" s="86" t="b">
        <v>1</v>
      </c>
      <c r="AG23" s="86" t="s">
        <v>247</v>
      </c>
      <c r="AH23" s="86"/>
      <c r="AI23" s="92" t="s">
        <v>248</v>
      </c>
      <c r="AJ23" s="86" t="b">
        <v>0</v>
      </c>
      <c r="AK23" s="86">
        <v>1</v>
      </c>
      <c r="AL23" s="92" t="s">
        <v>246</v>
      </c>
      <c r="AM23" s="86" t="s">
        <v>250</v>
      </c>
      <c r="AN23" s="86" t="b">
        <v>0</v>
      </c>
      <c r="AO23" s="92" t="s">
        <v>243</v>
      </c>
      <c r="AP23" s="86" t="s">
        <v>176</v>
      </c>
      <c r="AQ23" s="86">
        <v>0</v>
      </c>
      <c r="AR23" s="86">
        <v>0</v>
      </c>
      <c r="AS23" s="86" t="s">
        <v>251</v>
      </c>
      <c r="AT23" s="86" t="s">
        <v>252</v>
      </c>
      <c r="AU23" s="86" t="s">
        <v>253</v>
      </c>
      <c r="AV23" s="86" t="s">
        <v>254</v>
      </c>
      <c r="AW23" s="86" t="s">
        <v>255</v>
      </c>
      <c r="AX23" s="86" t="s">
        <v>256</v>
      </c>
      <c r="AY23" s="86" t="s">
        <v>257</v>
      </c>
      <c r="AZ23" s="90" t="s">
        <v>258</v>
      </c>
      <c r="BA23">
        <v>2</v>
      </c>
      <c r="BB23" s="85" t="str">
        <f>REPLACE(INDEX(GroupVertices[Group],MATCH(Edges[[#This Row],[Vertex 1]],GroupVertices[Vertex],0)),1,1,"")</f>
        <v>2</v>
      </c>
      <c r="BC23" s="85" t="str">
        <f>REPLACE(INDEX(GroupVertices[Group],MATCH(Edges[[#This Row],[Vertex 2]],GroupVertices[Vertex],0)),1,1,"")</f>
        <v>1</v>
      </c>
      <c r="BD23" s="51"/>
      <c r="BE23" s="52"/>
      <c r="BF23" s="51"/>
      <c r="BG23" s="52"/>
      <c r="BH23" s="51"/>
      <c r="BI23" s="52"/>
      <c r="BJ23" s="51"/>
      <c r="BK23" s="52"/>
      <c r="BL23" s="51"/>
    </row>
    <row r="24" spans="1:64" ht="45">
      <c r="A24" s="84" t="s">
        <v>213</v>
      </c>
      <c r="B24" s="84" t="s">
        <v>214</v>
      </c>
      <c r="C24" s="53" t="s">
        <v>553</v>
      </c>
      <c r="D24" s="54">
        <v>3</v>
      </c>
      <c r="E24" s="65" t="s">
        <v>136</v>
      </c>
      <c r="F24" s="55">
        <v>35</v>
      </c>
      <c r="G24" s="53"/>
      <c r="H24" s="57"/>
      <c r="I24" s="56"/>
      <c r="J24" s="56"/>
      <c r="K24" s="36" t="s">
        <v>66</v>
      </c>
      <c r="L24" s="83">
        <v>24</v>
      </c>
      <c r="M24" s="83"/>
      <c r="N24" s="63"/>
      <c r="O24" s="86" t="s">
        <v>225</v>
      </c>
      <c r="P24" s="88">
        <v>43468.85663194444</v>
      </c>
      <c r="Q24" s="86" t="s">
        <v>228</v>
      </c>
      <c r="R24" s="86"/>
      <c r="S24" s="86"/>
      <c r="T24" s="86"/>
      <c r="U24" s="86"/>
      <c r="V24" s="90" t="s">
        <v>236</v>
      </c>
      <c r="W24" s="88">
        <v>43468.85663194444</v>
      </c>
      <c r="X24" s="90" t="s">
        <v>240</v>
      </c>
      <c r="Y24" s="86"/>
      <c r="Z24" s="86"/>
      <c r="AA24" s="92" t="s">
        <v>244</v>
      </c>
      <c r="AB24" s="86"/>
      <c r="AC24" s="86" t="b">
        <v>0</v>
      </c>
      <c r="AD24" s="86">
        <v>0</v>
      </c>
      <c r="AE24" s="92" t="s">
        <v>246</v>
      </c>
      <c r="AF24" s="86" t="b">
        <v>1</v>
      </c>
      <c r="AG24" s="86" t="s">
        <v>247</v>
      </c>
      <c r="AH24" s="86"/>
      <c r="AI24" s="92" t="s">
        <v>248</v>
      </c>
      <c r="AJ24" s="86" t="b">
        <v>0</v>
      </c>
      <c r="AK24" s="86">
        <v>1</v>
      </c>
      <c r="AL24" s="92" t="s">
        <v>243</v>
      </c>
      <c r="AM24" s="86" t="s">
        <v>250</v>
      </c>
      <c r="AN24" s="86" t="b">
        <v>0</v>
      </c>
      <c r="AO24" s="92" t="s">
        <v>243</v>
      </c>
      <c r="AP24" s="86" t="s">
        <v>176</v>
      </c>
      <c r="AQ24" s="86">
        <v>0</v>
      </c>
      <c r="AR24" s="86">
        <v>0</v>
      </c>
      <c r="AS24" s="86"/>
      <c r="AT24" s="86"/>
      <c r="AU24" s="86"/>
      <c r="AV24" s="86"/>
      <c r="AW24" s="86"/>
      <c r="AX24" s="86"/>
      <c r="AY24" s="86"/>
      <c r="AZ24" s="86"/>
      <c r="BA24">
        <v>2</v>
      </c>
      <c r="BB24" s="85" t="str">
        <f>REPLACE(INDEX(GroupVertices[Group],MATCH(Edges[[#This Row],[Vertex 1]],GroupVertices[Vertex],0)),1,1,"")</f>
        <v>2</v>
      </c>
      <c r="BC24" s="85" t="str">
        <f>REPLACE(INDEX(GroupVertices[Group],MATCH(Edges[[#This Row],[Vertex 2]],GroupVertices[Vertex],0)),1,1,"")</f>
        <v>1</v>
      </c>
      <c r="BD24" s="51"/>
      <c r="BE24" s="52"/>
      <c r="BF24" s="51"/>
      <c r="BG24" s="52"/>
      <c r="BH24" s="51"/>
      <c r="BI24" s="52"/>
      <c r="BJ24" s="51"/>
      <c r="BK24" s="52"/>
      <c r="BL24" s="51"/>
    </row>
    <row r="25" spans="1:64" ht="45">
      <c r="A25" s="84" t="s">
        <v>214</v>
      </c>
      <c r="B25" s="84" t="s">
        <v>213</v>
      </c>
      <c r="C25" s="53" t="s">
        <v>553</v>
      </c>
      <c r="D25" s="54">
        <v>3</v>
      </c>
      <c r="E25" s="65" t="s">
        <v>132</v>
      </c>
      <c r="F25" s="55">
        <v>35</v>
      </c>
      <c r="G25" s="53"/>
      <c r="H25" s="57"/>
      <c r="I25" s="56"/>
      <c r="J25" s="56"/>
      <c r="K25" s="36" t="s">
        <v>66</v>
      </c>
      <c r="L25" s="83">
        <v>25</v>
      </c>
      <c r="M25" s="83"/>
      <c r="N25" s="63"/>
      <c r="O25" s="86" t="s">
        <v>225</v>
      </c>
      <c r="P25" s="88">
        <v>43483.88340277778</v>
      </c>
      <c r="Q25" s="86" t="s">
        <v>228</v>
      </c>
      <c r="R25" s="86"/>
      <c r="S25" s="86"/>
      <c r="T25" s="86"/>
      <c r="U25" s="86"/>
      <c r="V25" s="90" t="s">
        <v>237</v>
      </c>
      <c r="W25" s="88">
        <v>43483.88340277778</v>
      </c>
      <c r="X25" s="90" t="s">
        <v>241</v>
      </c>
      <c r="Y25" s="86"/>
      <c r="Z25" s="86"/>
      <c r="AA25" s="92" t="s">
        <v>245</v>
      </c>
      <c r="AB25" s="86"/>
      <c r="AC25" s="86" t="b">
        <v>0</v>
      </c>
      <c r="AD25" s="86">
        <v>0</v>
      </c>
      <c r="AE25" s="92" t="s">
        <v>246</v>
      </c>
      <c r="AF25" s="86" t="b">
        <v>1</v>
      </c>
      <c r="AG25" s="86" t="s">
        <v>247</v>
      </c>
      <c r="AH25" s="86"/>
      <c r="AI25" s="92" t="s">
        <v>248</v>
      </c>
      <c r="AJ25" s="86" t="b">
        <v>0</v>
      </c>
      <c r="AK25" s="86">
        <v>2</v>
      </c>
      <c r="AL25" s="92" t="s">
        <v>243</v>
      </c>
      <c r="AM25" s="86" t="s">
        <v>250</v>
      </c>
      <c r="AN25" s="86" t="b">
        <v>0</v>
      </c>
      <c r="AO25" s="92" t="s">
        <v>243</v>
      </c>
      <c r="AP25" s="86" t="s">
        <v>176</v>
      </c>
      <c r="AQ25" s="86">
        <v>0</v>
      </c>
      <c r="AR25" s="86">
        <v>0</v>
      </c>
      <c r="AS25" s="86"/>
      <c r="AT25" s="86"/>
      <c r="AU25" s="86"/>
      <c r="AV25" s="86"/>
      <c r="AW25" s="86"/>
      <c r="AX25" s="86"/>
      <c r="AY25" s="86"/>
      <c r="AZ25" s="86"/>
      <c r="BA25">
        <v>1</v>
      </c>
      <c r="BB25" s="85" t="str">
        <f>REPLACE(INDEX(GroupVertices[Group],MATCH(Edges[[#This Row],[Vertex 1]],GroupVertices[Vertex],0)),1,1,"")</f>
        <v>1</v>
      </c>
      <c r="BC25" s="85" t="str">
        <f>REPLACE(INDEX(GroupVertices[Group],MATCH(Edges[[#This Row],[Vertex 2]],GroupVertices[Vertex],0)),1,1,"")</f>
        <v>2</v>
      </c>
      <c r="BD25" s="51"/>
      <c r="BE25" s="52"/>
      <c r="BF25" s="51"/>
      <c r="BG25" s="52"/>
      <c r="BH25" s="51"/>
      <c r="BI25" s="52"/>
      <c r="BJ25" s="51"/>
      <c r="BK25" s="52"/>
      <c r="BL25" s="51"/>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
    <dataValidation allowBlank="1" showErrorMessage="1" sqref="N2:N2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
    <dataValidation allowBlank="1" showInputMessage="1" promptTitle="Edge Color" prompt="To select an optional edge color, right-click and select Select Color on the right-click menu." sqref="C3:C25"/>
    <dataValidation allowBlank="1" showInputMessage="1" promptTitle="Edge Width" prompt="Enter an optional edge width between 1 and 10." errorTitle="Invalid Edge Width" error="The optional edge width must be a whole number between 1 and 10." sqref="D3:D25"/>
    <dataValidation allowBlank="1" showInputMessage="1" promptTitle="Edge Opacity" prompt="Enter an optional edge opacity between 0 (transparent) and 100 (opaque)." errorTitle="Invalid Edge Opacity" error="The optional edge opacity must be a whole number between 0 and 10." sqref="F3:F2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
      <formula1>ValidEdgeVisibilities</formula1>
    </dataValidation>
    <dataValidation allowBlank="1" showInputMessage="1" showErrorMessage="1" promptTitle="Vertex 1 Name" prompt="Enter the name of the edge's first vertex." sqref="A3:A25"/>
    <dataValidation allowBlank="1" showInputMessage="1" showErrorMessage="1" promptTitle="Vertex 2 Name" prompt="Enter the name of the edge's second vertex." sqref="B3:B25"/>
    <dataValidation allowBlank="1" showInputMessage="1" showErrorMessage="1" promptTitle="Edge Label" prompt="Enter an optional edge label." errorTitle="Invalid Edge Visibility" error="You have entered an unrecognized edge visibility.  Try selecting from the drop-down list instead." sqref="H3:H2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5"/>
  </dataValidations>
  <hyperlinks>
    <hyperlink ref="R3" r:id="rId1" display="http://www.socialrivals.com/"/>
    <hyperlink ref="R4" r:id="rId2" display="https://twitter.com/thepmcf/status/1080841215262711808"/>
    <hyperlink ref="R5" r:id="rId3" display="https://twitter.com/thepmcf/status/1080841215262711808"/>
    <hyperlink ref="R6" r:id="rId4" display="https://twitter.com/thepmcf/status/1080841215262711808"/>
    <hyperlink ref="R7" r:id="rId5" display="https://twitter.com/thepmcf/status/1080841215262711808"/>
    <hyperlink ref="R8" r:id="rId6" display="https://twitter.com/thepmcf/status/1080841215262711808"/>
    <hyperlink ref="R11" r:id="rId7" display="https://twitter.com/thepmcf/status/1080841215262711808"/>
    <hyperlink ref="R14" r:id="rId8" display="https://twitter.com/thepmcf/status/1080841215262711808"/>
    <hyperlink ref="R17" r:id="rId9" display="https://twitter.com/thepmcf/status/1080841215262711808"/>
    <hyperlink ref="R20" r:id="rId10" display="https://twitter.com/thepmcf/status/1080841215262711808"/>
    <hyperlink ref="R23" r:id="rId11" display="https://twitter.com/thepmcf/status/1080841215262711808"/>
    <hyperlink ref="V3" r:id="rId12" display="http://pbs.twimg.com/profile_images/495235732819034112/3k-ynFVE_normal.png"/>
    <hyperlink ref="V4" r:id="rId13" display="http://pbs.twimg.com/profile_images/675080091035172864/HZ5U7SeD_normal.jpg"/>
    <hyperlink ref="V5" r:id="rId14" display="http://pbs.twimg.com/profile_images/675080091035172864/HZ5U7SeD_normal.jpg"/>
    <hyperlink ref="V6" r:id="rId15" display="http://pbs.twimg.com/profile_images/675080091035172864/HZ5U7SeD_normal.jpg"/>
    <hyperlink ref="V7" r:id="rId16" display="http://pbs.twimg.com/profile_images/675080091035172864/HZ5U7SeD_normal.jpg"/>
    <hyperlink ref="V8" r:id="rId17" display="http://pbs.twimg.com/profile_images/675080091035172864/HZ5U7SeD_normal.jpg"/>
    <hyperlink ref="V9" r:id="rId18" display="http://pbs.twimg.com/profile_images/675080091035172864/HZ5U7SeD_normal.jpg"/>
    <hyperlink ref="V10" r:id="rId19" display="http://pbs.twimg.com/profile_images/697284678760292353/bTd3nDOn_normal.png"/>
    <hyperlink ref="V11" r:id="rId20" display="http://pbs.twimg.com/profile_images/675080091035172864/HZ5U7SeD_normal.jpg"/>
    <hyperlink ref="V12" r:id="rId21" display="http://pbs.twimg.com/profile_images/675080091035172864/HZ5U7SeD_normal.jpg"/>
    <hyperlink ref="V13" r:id="rId22" display="http://pbs.twimg.com/profile_images/697284678760292353/bTd3nDOn_normal.png"/>
    <hyperlink ref="V14" r:id="rId23" display="http://pbs.twimg.com/profile_images/675080091035172864/HZ5U7SeD_normal.jpg"/>
    <hyperlink ref="V15" r:id="rId24" display="http://pbs.twimg.com/profile_images/675080091035172864/HZ5U7SeD_normal.jpg"/>
    <hyperlink ref="V16" r:id="rId25" display="http://pbs.twimg.com/profile_images/697284678760292353/bTd3nDOn_normal.png"/>
    <hyperlink ref="V17" r:id="rId26" display="http://pbs.twimg.com/profile_images/675080091035172864/HZ5U7SeD_normal.jpg"/>
    <hyperlink ref="V18" r:id="rId27" display="http://pbs.twimg.com/profile_images/675080091035172864/HZ5U7SeD_normal.jpg"/>
    <hyperlink ref="V19" r:id="rId28" display="http://pbs.twimg.com/profile_images/697284678760292353/bTd3nDOn_normal.png"/>
    <hyperlink ref="V20" r:id="rId29" display="http://pbs.twimg.com/profile_images/675080091035172864/HZ5U7SeD_normal.jpg"/>
    <hyperlink ref="V21" r:id="rId30" display="http://pbs.twimg.com/profile_images/675080091035172864/HZ5U7SeD_normal.jpg"/>
    <hyperlink ref="V22" r:id="rId31" display="http://pbs.twimg.com/profile_images/697284678760292353/bTd3nDOn_normal.png"/>
    <hyperlink ref="V23" r:id="rId32" display="http://pbs.twimg.com/profile_images/675080091035172864/HZ5U7SeD_normal.jpg"/>
    <hyperlink ref="V24" r:id="rId33" display="http://pbs.twimg.com/profile_images/675080091035172864/HZ5U7SeD_normal.jpg"/>
    <hyperlink ref="V25" r:id="rId34" display="http://pbs.twimg.com/profile_images/697284678760292353/bTd3nDOn_normal.png"/>
    <hyperlink ref="X3" r:id="rId35" display="https://twitter.com/#!/socialrivals/status/1071293551714205696"/>
    <hyperlink ref="X4" r:id="rId36" display="https://twitter.com/#!/timmcclure23/status/1080844486710906880"/>
    <hyperlink ref="X5" r:id="rId37" display="https://twitter.com/#!/timmcclure23/status/1080844486710906880"/>
    <hyperlink ref="X6" r:id="rId38" display="https://twitter.com/#!/timmcclure23/status/1080844486710906880"/>
    <hyperlink ref="X7" r:id="rId39" display="https://twitter.com/#!/timmcclure23/status/1080844486710906880"/>
    <hyperlink ref="X8" r:id="rId40" display="https://twitter.com/#!/timmcclure23/status/1080844486710906880"/>
    <hyperlink ref="X9" r:id="rId41" display="https://twitter.com/#!/timmcclure23/status/1080925150223183874"/>
    <hyperlink ref="X10" r:id="rId42" display="https://twitter.com/#!/onewalktoronto/status/1086370671213641728"/>
    <hyperlink ref="X11" r:id="rId43" display="https://twitter.com/#!/timmcclure23/status/1080844486710906880"/>
    <hyperlink ref="X12" r:id="rId44" display="https://twitter.com/#!/timmcclure23/status/1080925150223183874"/>
    <hyperlink ref="X13" r:id="rId45" display="https://twitter.com/#!/onewalktoronto/status/1086370671213641728"/>
    <hyperlink ref="X14" r:id="rId46" display="https://twitter.com/#!/timmcclure23/status/1080844486710906880"/>
    <hyperlink ref="X15" r:id="rId47" display="https://twitter.com/#!/timmcclure23/status/1080925150223183874"/>
    <hyperlink ref="X16" r:id="rId48" display="https://twitter.com/#!/onewalktoronto/status/1086370671213641728"/>
    <hyperlink ref="X17" r:id="rId49" display="https://twitter.com/#!/timmcclure23/status/1080844486710906880"/>
    <hyperlink ref="X18" r:id="rId50" display="https://twitter.com/#!/timmcclure23/status/1080925150223183874"/>
    <hyperlink ref="X19" r:id="rId51" display="https://twitter.com/#!/onewalktoronto/status/1086370671213641728"/>
    <hyperlink ref="X20" r:id="rId52" display="https://twitter.com/#!/timmcclure23/status/1080844486710906880"/>
    <hyperlink ref="X21" r:id="rId53" display="https://twitter.com/#!/timmcclure23/status/1080925150223183874"/>
    <hyperlink ref="X22" r:id="rId54" display="https://twitter.com/#!/onewalktoronto/status/1086370671213641728"/>
    <hyperlink ref="X23" r:id="rId55" display="https://twitter.com/#!/timmcclure23/status/1080844486710906880"/>
    <hyperlink ref="X24" r:id="rId56" display="https://twitter.com/#!/timmcclure23/status/1080925150223183874"/>
    <hyperlink ref="X25" r:id="rId57" display="https://twitter.com/#!/onewalktoronto/status/1086370671213641728"/>
    <hyperlink ref="AZ4" r:id="rId58" display="https://api.twitter.com/1.1/geo/id/61ecf520fef6ce72.json"/>
    <hyperlink ref="AZ5" r:id="rId59" display="https://api.twitter.com/1.1/geo/id/61ecf520fef6ce72.json"/>
    <hyperlink ref="AZ6" r:id="rId60" display="https://api.twitter.com/1.1/geo/id/61ecf520fef6ce72.json"/>
    <hyperlink ref="AZ7" r:id="rId61" display="https://api.twitter.com/1.1/geo/id/61ecf520fef6ce72.json"/>
    <hyperlink ref="AZ8" r:id="rId62" display="https://api.twitter.com/1.1/geo/id/61ecf520fef6ce72.json"/>
    <hyperlink ref="AZ11" r:id="rId63" display="https://api.twitter.com/1.1/geo/id/61ecf520fef6ce72.json"/>
    <hyperlink ref="AZ14" r:id="rId64" display="https://api.twitter.com/1.1/geo/id/61ecf520fef6ce72.json"/>
    <hyperlink ref="AZ17" r:id="rId65" display="https://api.twitter.com/1.1/geo/id/61ecf520fef6ce72.json"/>
    <hyperlink ref="AZ20" r:id="rId66" display="https://api.twitter.com/1.1/geo/id/61ecf520fef6ce72.json"/>
    <hyperlink ref="AZ23" r:id="rId67" display="https://api.twitter.com/1.1/geo/id/61ecf520fef6ce72.json"/>
  </hyperlinks>
  <printOptions/>
  <pageMargins left="0.7" right="0.7" top="0.75" bottom="0.75" header="0.3" footer="0.3"/>
  <pageSetup horizontalDpi="600" verticalDpi="600" orientation="portrait" r:id="rId71"/>
  <legacyDrawing r:id="rId69"/>
  <tableParts>
    <tablePart r:id="rId7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522</v>
      </c>
      <c r="B1" s="13" t="s">
        <v>523</v>
      </c>
      <c r="C1" s="13" t="s">
        <v>524</v>
      </c>
      <c r="D1" s="13" t="s">
        <v>144</v>
      </c>
      <c r="E1" s="13" t="s">
        <v>526</v>
      </c>
      <c r="F1" s="13" t="s">
        <v>527</v>
      </c>
      <c r="G1" s="13" t="s">
        <v>528</v>
      </c>
    </row>
    <row r="2" spans="1:7" ht="15">
      <c r="A2" s="85" t="s">
        <v>457</v>
      </c>
      <c r="B2" s="85">
        <v>5</v>
      </c>
      <c r="C2" s="132">
        <v>0.06578947368421052</v>
      </c>
      <c r="D2" s="85" t="s">
        <v>525</v>
      </c>
      <c r="E2" s="85"/>
      <c r="F2" s="85"/>
      <c r="G2" s="85"/>
    </row>
    <row r="3" spans="1:7" ht="15">
      <c r="A3" s="85" t="s">
        <v>458</v>
      </c>
      <c r="B3" s="85">
        <v>1</v>
      </c>
      <c r="C3" s="132">
        <v>0.013157894736842106</v>
      </c>
      <c r="D3" s="85" t="s">
        <v>525</v>
      </c>
      <c r="E3" s="85"/>
      <c r="F3" s="85"/>
      <c r="G3" s="85"/>
    </row>
    <row r="4" spans="1:7" ht="15">
      <c r="A4" s="85" t="s">
        <v>459</v>
      </c>
      <c r="B4" s="85">
        <v>0</v>
      </c>
      <c r="C4" s="132">
        <v>0</v>
      </c>
      <c r="D4" s="85" t="s">
        <v>525</v>
      </c>
      <c r="E4" s="85"/>
      <c r="F4" s="85"/>
      <c r="G4" s="85"/>
    </row>
    <row r="5" spans="1:7" ht="15">
      <c r="A5" s="85" t="s">
        <v>460</v>
      </c>
      <c r="B5" s="85">
        <v>70</v>
      </c>
      <c r="C5" s="132">
        <v>0.9210526315789473</v>
      </c>
      <c r="D5" s="85" t="s">
        <v>525</v>
      </c>
      <c r="E5" s="85"/>
      <c r="F5" s="85"/>
      <c r="G5" s="85"/>
    </row>
    <row r="6" spans="1:7" ht="15">
      <c r="A6" s="85" t="s">
        <v>461</v>
      </c>
      <c r="B6" s="85">
        <v>76</v>
      </c>
      <c r="C6" s="132">
        <v>1</v>
      </c>
      <c r="D6" s="85" t="s">
        <v>525</v>
      </c>
      <c r="E6" s="85"/>
      <c r="F6" s="85"/>
      <c r="G6" s="85"/>
    </row>
    <row r="7" spans="1:7" ht="15">
      <c r="A7" s="91" t="s">
        <v>223</v>
      </c>
      <c r="B7" s="91">
        <v>5</v>
      </c>
      <c r="C7" s="133">
        <v>0</v>
      </c>
      <c r="D7" s="91" t="s">
        <v>525</v>
      </c>
      <c r="E7" s="91" t="b">
        <v>0</v>
      </c>
      <c r="F7" s="91" t="b">
        <v>0</v>
      </c>
      <c r="G7" s="91" t="b">
        <v>0</v>
      </c>
    </row>
    <row r="8" spans="1:7" ht="15">
      <c r="A8" s="91" t="s">
        <v>462</v>
      </c>
      <c r="B8" s="91">
        <v>4</v>
      </c>
      <c r="C8" s="133">
        <v>0.010199080539453054</v>
      </c>
      <c r="D8" s="91" t="s">
        <v>525</v>
      </c>
      <c r="E8" s="91" t="b">
        <v>1</v>
      </c>
      <c r="F8" s="91" t="b">
        <v>0</v>
      </c>
      <c r="G8" s="91" t="b">
        <v>0</v>
      </c>
    </row>
    <row r="9" spans="1:7" ht="15">
      <c r="A9" s="91" t="s">
        <v>224</v>
      </c>
      <c r="B9" s="91">
        <v>3</v>
      </c>
      <c r="C9" s="133">
        <v>0.007649310404589792</v>
      </c>
      <c r="D9" s="91" t="s">
        <v>525</v>
      </c>
      <c r="E9" s="91" t="b">
        <v>0</v>
      </c>
      <c r="F9" s="91" t="b">
        <v>0</v>
      </c>
      <c r="G9" s="91" t="b">
        <v>0</v>
      </c>
    </row>
    <row r="10" spans="1:7" ht="15">
      <c r="A10" s="91" t="s">
        <v>222</v>
      </c>
      <c r="B10" s="91">
        <v>3</v>
      </c>
      <c r="C10" s="133">
        <v>0.007649310404589792</v>
      </c>
      <c r="D10" s="91" t="s">
        <v>525</v>
      </c>
      <c r="E10" s="91" t="b">
        <v>0</v>
      </c>
      <c r="F10" s="91" t="b">
        <v>0</v>
      </c>
      <c r="G10" s="91" t="b">
        <v>0</v>
      </c>
    </row>
    <row r="11" spans="1:7" ht="15">
      <c r="A11" s="91" t="s">
        <v>221</v>
      </c>
      <c r="B11" s="91">
        <v>3</v>
      </c>
      <c r="C11" s="133">
        <v>0.007649310404589792</v>
      </c>
      <c r="D11" s="91" t="s">
        <v>525</v>
      </c>
      <c r="E11" s="91" t="b">
        <v>0</v>
      </c>
      <c r="F11" s="91" t="b">
        <v>0</v>
      </c>
      <c r="G11" s="91" t="b">
        <v>0</v>
      </c>
    </row>
    <row r="12" spans="1:7" ht="15">
      <c r="A12" s="91" t="s">
        <v>214</v>
      </c>
      <c r="B12" s="91">
        <v>3</v>
      </c>
      <c r="C12" s="133">
        <v>0.007649310404589792</v>
      </c>
      <c r="D12" s="91" t="s">
        <v>525</v>
      </c>
      <c r="E12" s="91" t="b">
        <v>0</v>
      </c>
      <c r="F12" s="91" t="b">
        <v>0</v>
      </c>
      <c r="G12" s="91" t="b">
        <v>0</v>
      </c>
    </row>
    <row r="13" spans="1:7" ht="15">
      <c r="A13" s="91" t="s">
        <v>220</v>
      </c>
      <c r="B13" s="91">
        <v>3</v>
      </c>
      <c r="C13" s="133">
        <v>0.007649310404589792</v>
      </c>
      <c r="D13" s="91" t="s">
        <v>525</v>
      </c>
      <c r="E13" s="91" t="b">
        <v>0</v>
      </c>
      <c r="F13" s="91" t="b">
        <v>0</v>
      </c>
      <c r="G13" s="91" t="b">
        <v>0</v>
      </c>
    </row>
    <row r="14" spans="1:7" ht="15">
      <c r="A14" s="91" t="s">
        <v>465</v>
      </c>
      <c r="B14" s="91">
        <v>3</v>
      </c>
      <c r="C14" s="133">
        <v>0.007649310404589792</v>
      </c>
      <c r="D14" s="91" t="s">
        <v>525</v>
      </c>
      <c r="E14" s="91" t="b">
        <v>0</v>
      </c>
      <c r="F14" s="91" t="b">
        <v>0</v>
      </c>
      <c r="G14" s="91" t="b">
        <v>0</v>
      </c>
    </row>
    <row r="15" spans="1:7" ht="15">
      <c r="A15" s="91" t="s">
        <v>213</v>
      </c>
      <c r="B15" s="91">
        <v>2</v>
      </c>
      <c r="C15" s="133">
        <v>0.012286938598529844</v>
      </c>
      <c r="D15" s="91" t="s">
        <v>525</v>
      </c>
      <c r="E15" s="91" t="b">
        <v>0</v>
      </c>
      <c r="F15" s="91" t="b">
        <v>0</v>
      </c>
      <c r="G15" s="91" t="b">
        <v>0</v>
      </c>
    </row>
    <row r="16" spans="1:7" ht="15">
      <c r="A16" s="91" t="s">
        <v>467</v>
      </c>
      <c r="B16" s="91">
        <v>2</v>
      </c>
      <c r="C16" s="133">
        <v>0.02457387719705969</v>
      </c>
      <c r="D16" s="91" t="s">
        <v>525</v>
      </c>
      <c r="E16" s="91" t="b">
        <v>0</v>
      </c>
      <c r="F16" s="91" t="b">
        <v>0</v>
      </c>
      <c r="G16" s="91" t="b">
        <v>0</v>
      </c>
    </row>
    <row r="17" spans="1:7" ht="15">
      <c r="A17" s="91" t="s">
        <v>462</v>
      </c>
      <c r="B17" s="91">
        <v>3</v>
      </c>
      <c r="C17" s="133">
        <v>0</v>
      </c>
      <c r="D17" s="91" t="s">
        <v>418</v>
      </c>
      <c r="E17" s="91" t="b">
        <v>1</v>
      </c>
      <c r="F17" s="91" t="b">
        <v>0</v>
      </c>
      <c r="G17" s="91" t="b">
        <v>0</v>
      </c>
    </row>
    <row r="18" spans="1:7" ht="15">
      <c r="A18" s="91" t="s">
        <v>223</v>
      </c>
      <c r="B18" s="91">
        <v>3</v>
      </c>
      <c r="C18" s="133">
        <v>0</v>
      </c>
      <c r="D18" s="91" t="s">
        <v>418</v>
      </c>
      <c r="E18" s="91" t="b">
        <v>0</v>
      </c>
      <c r="F18" s="91" t="b">
        <v>0</v>
      </c>
      <c r="G18" s="91" t="b">
        <v>0</v>
      </c>
    </row>
    <row r="19" spans="1:7" ht="15">
      <c r="A19" s="91" t="s">
        <v>224</v>
      </c>
      <c r="B19" s="91">
        <v>2</v>
      </c>
      <c r="C19" s="133">
        <v>0</v>
      </c>
      <c r="D19" s="91" t="s">
        <v>418</v>
      </c>
      <c r="E19" s="91" t="b">
        <v>0</v>
      </c>
      <c r="F19" s="91" t="b">
        <v>0</v>
      </c>
      <c r="G19" s="91" t="b">
        <v>0</v>
      </c>
    </row>
    <row r="20" spans="1:7" ht="15">
      <c r="A20" s="91" t="s">
        <v>222</v>
      </c>
      <c r="B20" s="91">
        <v>2</v>
      </c>
      <c r="C20" s="133">
        <v>0</v>
      </c>
      <c r="D20" s="91" t="s">
        <v>418</v>
      </c>
      <c r="E20" s="91" t="b">
        <v>0</v>
      </c>
      <c r="F20" s="91" t="b">
        <v>0</v>
      </c>
      <c r="G20" s="91" t="b">
        <v>0</v>
      </c>
    </row>
    <row r="21" spans="1:7" ht="15">
      <c r="A21" s="91" t="s">
        <v>221</v>
      </c>
      <c r="B21" s="91">
        <v>2</v>
      </c>
      <c r="C21" s="133">
        <v>0</v>
      </c>
      <c r="D21" s="91" t="s">
        <v>418</v>
      </c>
      <c r="E21" s="91" t="b">
        <v>0</v>
      </c>
      <c r="F21" s="91" t="b">
        <v>0</v>
      </c>
      <c r="G21" s="91" t="b">
        <v>0</v>
      </c>
    </row>
    <row r="22" spans="1:7" ht="15">
      <c r="A22" s="91" t="s">
        <v>214</v>
      </c>
      <c r="B22" s="91">
        <v>2</v>
      </c>
      <c r="C22" s="133">
        <v>0</v>
      </c>
      <c r="D22" s="91" t="s">
        <v>418</v>
      </c>
      <c r="E22" s="91" t="b">
        <v>0</v>
      </c>
      <c r="F22" s="91" t="b">
        <v>0</v>
      </c>
      <c r="G22" s="91" t="b">
        <v>0</v>
      </c>
    </row>
    <row r="23" spans="1:7" ht="15">
      <c r="A23" s="91" t="s">
        <v>220</v>
      </c>
      <c r="B23" s="91">
        <v>2</v>
      </c>
      <c r="C23" s="133">
        <v>0</v>
      </c>
      <c r="D23" s="91" t="s">
        <v>418</v>
      </c>
      <c r="E23" s="91" t="b">
        <v>0</v>
      </c>
      <c r="F23" s="91" t="b">
        <v>0</v>
      </c>
      <c r="G23" s="91" t="b">
        <v>0</v>
      </c>
    </row>
    <row r="24" spans="1:7" ht="15">
      <c r="A24" s="91" t="s">
        <v>465</v>
      </c>
      <c r="B24" s="91">
        <v>2</v>
      </c>
      <c r="C24" s="133">
        <v>0</v>
      </c>
      <c r="D24" s="91" t="s">
        <v>418</v>
      </c>
      <c r="E24" s="91" t="b">
        <v>0</v>
      </c>
      <c r="F24" s="91" t="b">
        <v>0</v>
      </c>
      <c r="G24" s="91" t="b">
        <v>0</v>
      </c>
    </row>
    <row r="25" spans="1:7" ht="15">
      <c r="A25" s="91" t="s">
        <v>467</v>
      </c>
      <c r="B25" s="91">
        <v>2</v>
      </c>
      <c r="C25" s="133">
        <v>0</v>
      </c>
      <c r="D25" s="91" t="s">
        <v>419</v>
      </c>
      <c r="E25" s="91" t="b">
        <v>0</v>
      </c>
      <c r="F25" s="91" t="b">
        <v>0</v>
      </c>
      <c r="G25"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529</v>
      </c>
      <c r="B1" s="13" t="s">
        <v>530</v>
      </c>
      <c r="C1" s="13" t="s">
        <v>523</v>
      </c>
      <c r="D1" s="13" t="s">
        <v>524</v>
      </c>
      <c r="E1" s="13" t="s">
        <v>531</v>
      </c>
      <c r="F1" s="13" t="s">
        <v>144</v>
      </c>
      <c r="G1" s="13" t="s">
        <v>532</v>
      </c>
      <c r="H1" s="13" t="s">
        <v>533</v>
      </c>
      <c r="I1" s="13" t="s">
        <v>534</v>
      </c>
      <c r="J1" s="13" t="s">
        <v>535</v>
      </c>
      <c r="K1" s="13" t="s">
        <v>536</v>
      </c>
      <c r="L1" s="13" t="s">
        <v>537</v>
      </c>
    </row>
    <row r="2" spans="1:12" ht="15">
      <c r="A2" s="91" t="s">
        <v>462</v>
      </c>
      <c r="B2" s="91" t="s">
        <v>224</v>
      </c>
      <c r="C2" s="91">
        <v>3</v>
      </c>
      <c r="D2" s="133">
        <v>0.007649310404589792</v>
      </c>
      <c r="E2" s="133">
        <v>1.0511525224473812</v>
      </c>
      <c r="F2" s="91" t="s">
        <v>525</v>
      </c>
      <c r="G2" s="91" t="b">
        <v>1</v>
      </c>
      <c r="H2" s="91" t="b">
        <v>0</v>
      </c>
      <c r="I2" s="91" t="b">
        <v>0</v>
      </c>
      <c r="J2" s="91" t="b">
        <v>0</v>
      </c>
      <c r="K2" s="91" t="b">
        <v>0</v>
      </c>
      <c r="L2" s="91" t="b">
        <v>0</v>
      </c>
    </row>
    <row r="3" spans="1:12" ht="15">
      <c r="A3" s="91" t="s">
        <v>224</v>
      </c>
      <c r="B3" s="91" t="s">
        <v>223</v>
      </c>
      <c r="C3" s="91">
        <v>3</v>
      </c>
      <c r="D3" s="133">
        <v>0.007649310404589792</v>
      </c>
      <c r="E3" s="133">
        <v>0.9542425094393249</v>
      </c>
      <c r="F3" s="91" t="s">
        <v>525</v>
      </c>
      <c r="G3" s="91" t="b">
        <v>0</v>
      </c>
      <c r="H3" s="91" t="b">
        <v>0</v>
      </c>
      <c r="I3" s="91" t="b">
        <v>0</v>
      </c>
      <c r="J3" s="91" t="b">
        <v>0</v>
      </c>
      <c r="K3" s="91" t="b">
        <v>0</v>
      </c>
      <c r="L3" s="91" t="b">
        <v>0</v>
      </c>
    </row>
    <row r="4" spans="1:12" ht="15">
      <c r="A4" s="91" t="s">
        <v>223</v>
      </c>
      <c r="B4" s="91" t="s">
        <v>222</v>
      </c>
      <c r="C4" s="91">
        <v>3</v>
      </c>
      <c r="D4" s="133">
        <v>0.007649310404589792</v>
      </c>
      <c r="E4" s="133">
        <v>1.0511525224473812</v>
      </c>
      <c r="F4" s="91" t="s">
        <v>525</v>
      </c>
      <c r="G4" s="91" t="b">
        <v>0</v>
      </c>
      <c r="H4" s="91" t="b">
        <v>0</v>
      </c>
      <c r="I4" s="91" t="b">
        <v>0</v>
      </c>
      <c r="J4" s="91" t="b">
        <v>0</v>
      </c>
      <c r="K4" s="91" t="b">
        <v>0</v>
      </c>
      <c r="L4" s="91" t="b">
        <v>0</v>
      </c>
    </row>
    <row r="5" spans="1:12" ht="15">
      <c r="A5" s="91" t="s">
        <v>222</v>
      </c>
      <c r="B5" s="91" t="s">
        <v>221</v>
      </c>
      <c r="C5" s="91">
        <v>3</v>
      </c>
      <c r="D5" s="133">
        <v>0.007649310404589792</v>
      </c>
      <c r="E5" s="133">
        <v>1.1760912590556813</v>
      </c>
      <c r="F5" s="91" t="s">
        <v>525</v>
      </c>
      <c r="G5" s="91" t="b">
        <v>0</v>
      </c>
      <c r="H5" s="91" t="b">
        <v>0</v>
      </c>
      <c r="I5" s="91" t="b">
        <v>0</v>
      </c>
      <c r="J5" s="91" t="b">
        <v>0</v>
      </c>
      <c r="K5" s="91" t="b">
        <v>0</v>
      </c>
      <c r="L5" s="91" t="b">
        <v>0</v>
      </c>
    </row>
    <row r="6" spans="1:12" ht="15">
      <c r="A6" s="91" t="s">
        <v>221</v>
      </c>
      <c r="B6" s="91" t="s">
        <v>214</v>
      </c>
      <c r="C6" s="91">
        <v>3</v>
      </c>
      <c r="D6" s="133">
        <v>0.007649310404589792</v>
      </c>
      <c r="E6" s="133">
        <v>1.1760912590556813</v>
      </c>
      <c r="F6" s="91" t="s">
        <v>525</v>
      </c>
      <c r="G6" s="91" t="b">
        <v>0</v>
      </c>
      <c r="H6" s="91" t="b">
        <v>0</v>
      </c>
      <c r="I6" s="91" t="b">
        <v>0</v>
      </c>
      <c r="J6" s="91" t="b">
        <v>0</v>
      </c>
      <c r="K6" s="91" t="b">
        <v>0</v>
      </c>
      <c r="L6" s="91" t="b">
        <v>0</v>
      </c>
    </row>
    <row r="7" spans="1:12" ht="15">
      <c r="A7" s="91" t="s">
        <v>214</v>
      </c>
      <c r="B7" s="91" t="s">
        <v>220</v>
      </c>
      <c r="C7" s="91">
        <v>3</v>
      </c>
      <c r="D7" s="133">
        <v>0.007649310404589792</v>
      </c>
      <c r="E7" s="133">
        <v>1.1760912590556813</v>
      </c>
      <c r="F7" s="91" t="s">
        <v>525</v>
      </c>
      <c r="G7" s="91" t="b">
        <v>0</v>
      </c>
      <c r="H7" s="91" t="b">
        <v>0</v>
      </c>
      <c r="I7" s="91" t="b">
        <v>0</v>
      </c>
      <c r="J7" s="91" t="b">
        <v>0</v>
      </c>
      <c r="K7" s="91" t="b">
        <v>0</v>
      </c>
      <c r="L7" s="91" t="b">
        <v>0</v>
      </c>
    </row>
    <row r="8" spans="1:12" ht="15">
      <c r="A8" s="91" t="s">
        <v>220</v>
      </c>
      <c r="B8" s="91" t="s">
        <v>465</v>
      </c>
      <c r="C8" s="91">
        <v>3</v>
      </c>
      <c r="D8" s="133">
        <v>0.007649310404589792</v>
      </c>
      <c r="E8" s="133">
        <v>1.1760912590556813</v>
      </c>
      <c r="F8" s="91" t="s">
        <v>525</v>
      </c>
      <c r="G8" s="91" t="b">
        <v>0</v>
      </c>
      <c r="H8" s="91" t="b">
        <v>0</v>
      </c>
      <c r="I8" s="91" t="b">
        <v>0</v>
      </c>
      <c r="J8" s="91" t="b">
        <v>0</v>
      </c>
      <c r="K8" s="91" t="b">
        <v>0</v>
      </c>
      <c r="L8" s="91" t="b">
        <v>0</v>
      </c>
    </row>
    <row r="9" spans="1:12" ht="15">
      <c r="A9" s="91" t="s">
        <v>213</v>
      </c>
      <c r="B9" s="91" t="s">
        <v>462</v>
      </c>
      <c r="C9" s="91">
        <v>2</v>
      </c>
      <c r="D9" s="133">
        <v>0.012286938598529844</v>
      </c>
      <c r="E9" s="133">
        <v>1.1760912590556813</v>
      </c>
      <c r="F9" s="91" t="s">
        <v>525</v>
      </c>
      <c r="G9" s="91" t="b">
        <v>0</v>
      </c>
      <c r="H9" s="91" t="b">
        <v>0</v>
      </c>
      <c r="I9" s="91" t="b">
        <v>0</v>
      </c>
      <c r="J9" s="91" t="b">
        <v>1</v>
      </c>
      <c r="K9" s="91" t="b">
        <v>0</v>
      </c>
      <c r="L9" s="91" t="b">
        <v>0</v>
      </c>
    </row>
    <row r="10" spans="1:12" ht="15">
      <c r="A10" s="91" t="s">
        <v>462</v>
      </c>
      <c r="B10" s="91" t="s">
        <v>224</v>
      </c>
      <c r="C10" s="91">
        <v>2</v>
      </c>
      <c r="D10" s="133">
        <v>0</v>
      </c>
      <c r="E10" s="133">
        <v>0.9542425094393249</v>
      </c>
      <c r="F10" s="91" t="s">
        <v>418</v>
      </c>
      <c r="G10" s="91" t="b">
        <v>1</v>
      </c>
      <c r="H10" s="91" t="b">
        <v>0</v>
      </c>
      <c r="I10" s="91" t="b">
        <v>0</v>
      </c>
      <c r="J10" s="91" t="b">
        <v>0</v>
      </c>
      <c r="K10" s="91" t="b">
        <v>0</v>
      </c>
      <c r="L10" s="91" t="b">
        <v>0</v>
      </c>
    </row>
    <row r="11" spans="1:12" ht="15">
      <c r="A11" s="91" t="s">
        <v>224</v>
      </c>
      <c r="B11" s="91" t="s">
        <v>223</v>
      </c>
      <c r="C11" s="91">
        <v>2</v>
      </c>
      <c r="D11" s="133">
        <v>0</v>
      </c>
      <c r="E11" s="133">
        <v>0.9542425094393249</v>
      </c>
      <c r="F11" s="91" t="s">
        <v>418</v>
      </c>
      <c r="G11" s="91" t="b">
        <v>0</v>
      </c>
      <c r="H11" s="91" t="b">
        <v>0</v>
      </c>
      <c r="I11" s="91" t="b">
        <v>0</v>
      </c>
      <c r="J11" s="91" t="b">
        <v>0</v>
      </c>
      <c r="K11" s="91" t="b">
        <v>0</v>
      </c>
      <c r="L11" s="91" t="b">
        <v>0</v>
      </c>
    </row>
    <row r="12" spans="1:12" ht="15">
      <c r="A12" s="91" t="s">
        <v>223</v>
      </c>
      <c r="B12" s="91" t="s">
        <v>222</v>
      </c>
      <c r="C12" s="91">
        <v>2</v>
      </c>
      <c r="D12" s="133">
        <v>0</v>
      </c>
      <c r="E12" s="133">
        <v>1.130333768495006</v>
      </c>
      <c r="F12" s="91" t="s">
        <v>418</v>
      </c>
      <c r="G12" s="91" t="b">
        <v>0</v>
      </c>
      <c r="H12" s="91" t="b">
        <v>0</v>
      </c>
      <c r="I12" s="91" t="b">
        <v>0</v>
      </c>
      <c r="J12" s="91" t="b">
        <v>0</v>
      </c>
      <c r="K12" s="91" t="b">
        <v>0</v>
      </c>
      <c r="L12" s="91" t="b">
        <v>0</v>
      </c>
    </row>
    <row r="13" spans="1:12" ht="15">
      <c r="A13" s="91" t="s">
        <v>222</v>
      </c>
      <c r="B13" s="91" t="s">
        <v>221</v>
      </c>
      <c r="C13" s="91">
        <v>2</v>
      </c>
      <c r="D13" s="133">
        <v>0</v>
      </c>
      <c r="E13" s="133">
        <v>1.130333768495006</v>
      </c>
      <c r="F13" s="91" t="s">
        <v>418</v>
      </c>
      <c r="G13" s="91" t="b">
        <v>0</v>
      </c>
      <c r="H13" s="91" t="b">
        <v>0</v>
      </c>
      <c r="I13" s="91" t="b">
        <v>0</v>
      </c>
      <c r="J13" s="91" t="b">
        <v>0</v>
      </c>
      <c r="K13" s="91" t="b">
        <v>0</v>
      </c>
      <c r="L13" s="91" t="b">
        <v>0</v>
      </c>
    </row>
    <row r="14" spans="1:12" ht="15">
      <c r="A14" s="91" t="s">
        <v>221</v>
      </c>
      <c r="B14" s="91" t="s">
        <v>214</v>
      </c>
      <c r="C14" s="91">
        <v>2</v>
      </c>
      <c r="D14" s="133">
        <v>0</v>
      </c>
      <c r="E14" s="133">
        <v>1.130333768495006</v>
      </c>
      <c r="F14" s="91" t="s">
        <v>418</v>
      </c>
      <c r="G14" s="91" t="b">
        <v>0</v>
      </c>
      <c r="H14" s="91" t="b">
        <v>0</v>
      </c>
      <c r="I14" s="91" t="b">
        <v>0</v>
      </c>
      <c r="J14" s="91" t="b">
        <v>0</v>
      </c>
      <c r="K14" s="91" t="b">
        <v>0</v>
      </c>
      <c r="L14" s="91" t="b">
        <v>0</v>
      </c>
    </row>
    <row r="15" spans="1:12" ht="15">
      <c r="A15" s="91" t="s">
        <v>214</v>
      </c>
      <c r="B15" s="91" t="s">
        <v>220</v>
      </c>
      <c r="C15" s="91">
        <v>2</v>
      </c>
      <c r="D15" s="133">
        <v>0</v>
      </c>
      <c r="E15" s="133">
        <v>1.130333768495006</v>
      </c>
      <c r="F15" s="91" t="s">
        <v>418</v>
      </c>
      <c r="G15" s="91" t="b">
        <v>0</v>
      </c>
      <c r="H15" s="91" t="b">
        <v>0</v>
      </c>
      <c r="I15" s="91" t="b">
        <v>0</v>
      </c>
      <c r="J15" s="91" t="b">
        <v>0</v>
      </c>
      <c r="K15" s="91" t="b">
        <v>0</v>
      </c>
      <c r="L15" s="91" t="b">
        <v>0</v>
      </c>
    </row>
    <row r="16" spans="1:12" ht="15">
      <c r="A16" s="91" t="s">
        <v>220</v>
      </c>
      <c r="B16" s="91" t="s">
        <v>465</v>
      </c>
      <c r="C16" s="91">
        <v>2</v>
      </c>
      <c r="D16" s="133">
        <v>0</v>
      </c>
      <c r="E16" s="133">
        <v>1.130333768495006</v>
      </c>
      <c r="F16" s="91" t="s">
        <v>418</v>
      </c>
      <c r="G16" s="91" t="b">
        <v>0</v>
      </c>
      <c r="H16" s="91" t="b">
        <v>0</v>
      </c>
      <c r="I16" s="91" t="b">
        <v>0</v>
      </c>
      <c r="J16" s="91" t="b">
        <v>0</v>
      </c>
      <c r="K16" s="91" t="b">
        <v>0</v>
      </c>
      <c r="L16" s="91"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416</v>
      </c>
      <c r="BB2" s="13" t="s">
        <v>424</v>
      </c>
      <c r="BC2" s="13" t="s">
        <v>425</v>
      </c>
      <c r="BD2" s="67" t="s">
        <v>538</v>
      </c>
      <c r="BE2" s="67" t="s">
        <v>539</v>
      </c>
      <c r="BF2" s="67" t="s">
        <v>540</v>
      </c>
      <c r="BG2" s="67" t="s">
        <v>541</v>
      </c>
      <c r="BH2" s="67" t="s">
        <v>542</v>
      </c>
      <c r="BI2" s="67" t="s">
        <v>543</v>
      </c>
      <c r="BJ2" s="67" t="s">
        <v>544</v>
      </c>
      <c r="BK2" s="67" t="s">
        <v>545</v>
      </c>
      <c r="BL2" s="67" t="s">
        <v>546</v>
      </c>
    </row>
    <row r="3" spans="1:64" ht="15" customHeight="1">
      <c r="A3" s="84" t="s">
        <v>212</v>
      </c>
      <c r="B3" s="84" t="s">
        <v>215</v>
      </c>
      <c r="C3" s="53"/>
      <c r="D3" s="54"/>
      <c r="E3" s="65"/>
      <c r="F3" s="55"/>
      <c r="G3" s="53"/>
      <c r="H3" s="57"/>
      <c r="I3" s="56"/>
      <c r="J3" s="56"/>
      <c r="K3" s="36" t="s">
        <v>65</v>
      </c>
      <c r="L3" s="62">
        <v>3</v>
      </c>
      <c r="M3" s="62"/>
      <c r="N3" s="63"/>
      <c r="O3" s="85" t="s">
        <v>225</v>
      </c>
      <c r="P3" s="87">
        <v>43442.2784837963</v>
      </c>
      <c r="Q3" s="85" t="s">
        <v>226</v>
      </c>
      <c r="R3" s="89" t="s">
        <v>229</v>
      </c>
      <c r="S3" s="85" t="s">
        <v>231</v>
      </c>
      <c r="T3" s="85" t="s">
        <v>233</v>
      </c>
      <c r="U3" s="85"/>
      <c r="V3" s="89" t="s">
        <v>235</v>
      </c>
      <c r="W3" s="87">
        <v>43442.2784837963</v>
      </c>
      <c r="X3" s="89" t="s">
        <v>238</v>
      </c>
      <c r="Y3" s="85"/>
      <c r="Z3" s="85"/>
      <c r="AA3" s="91" t="s">
        <v>242</v>
      </c>
      <c r="AB3" s="85"/>
      <c r="AC3" s="85" t="b">
        <v>0</v>
      </c>
      <c r="AD3" s="85">
        <v>0</v>
      </c>
      <c r="AE3" s="91" t="s">
        <v>246</v>
      </c>
      <c r="AF3" s="85" t="b">
        <v>0</v>
      </c>
      <c r="AG3" s="85" t="s">
        <v>247</v>
      </c>
      <c r="AH3" s="85"/>
      <c r="AI3" s="91" t="s">
        <v>246</v>
      </c>
      <c r="AJ3" s="85" t="b">
        <v>0</v>
      </c>
      <c r="AK3" s="85">
        <v>0</v>
      </c>
      <c r="AL3" s="91" t="s">
        <v>246</v>
      </c>
      <c r="AM3" s="85" t="s">
        <v>249</v>
      </c>
      <c r="AN3" s="85" t="b">
        <v>0</v>
      </c>
      <c r="AO3" s="91" t="s">
        <v>242</v>
      </c>
      <c r="AP3" s="85" t="s">
        <v>176</v>
      </c>
      <c r="AQ3" s="85">
        <v>0</v>
      </c>
      <c r="AR3" s="85">
        <v>0</v>
      </c>
      <c r="AS3" s="85"/>
      <c r="AT3" s="85"/>
      <c r="AU3" s="85"/>
      <c r="AV3" s="85"/>
      <c r="AW3" s="85"/>
      <c r="AX3" s="85"/>
      <c r="AY3" s="85"/>
      <c r="AZ3" s="85"/>
      <c r="BA3">
        <v>1</v>
      </c>
      <c r="BB3" s="85" t="str">
        <f>REPLACE(INDEX(GroupVertices[Group],MATCH(Edges24[[#This Row],[Vertex 1]],GroupVertices[Vertex],0)),1,1,"")</f>
        <v>3</v>
      </c>
      <c r="BC3" s="85" t="str">
        <f>REPLACE(INDEX(GroupVertices[Group],MATCH(Edges24[[#This Row],[Vertex 2]],GroupVertices[Vertex],0)),1,1,"")</f>
        <v>3</v>
      </c>
      <c r="BD3" s="51">
        <v>0</v>
      </c>
      <c r="BE3" s="52">
        <v>0</v>
      </c>
      <c r="BF3" s="51">
        <v>1</v>
      </c>
      <c r="BG3" s="52">
        <v>8.333333333333334</v>
      </c>
      <c r="BH3" s="51">
        <v>0</v>
      </c>
      <c r="BI3" s="52">
        <v>0</v>
      </c>
      <c r="BJ3" s="51">
        <v>11</v>
      </c>
      <c r="BK3" s="52">
        <v>91.66666666666667</v>
      </c>
      <c r="BL3" s="51">
        <v>12</v>
      </c>
    </row>
    <row r="4" spans="1:64" ht="15" customHeight="1">
      <c r="A4" s="84" t="s">
        <v>213</v>
      </c>
      <c r="B4" s="84" t="s">
        <v>216</v>
      </c>
      <c r="C4" s="53"/>
      <c r="D4" s="54"/>
      <c r="E4" s="65"/>
      <c r="F4" s="55"/>
      <c r="G4" s="53"/>
      <c r="H4" s="57"/>
      <c r="I4" s="56"/>
      <c r="J4" s="56"/>
      <c r="K4" s="36" t="s">
        <v>65</v>
      </c>
      <c r="L4" s="83">
        <v>4</v>
      </c>
      <c r="M4" s="83"/>
      <c r="N4" s="63"/>
      <c r="O4" s="86" t="s">
        <v>225</v>
      </c>
      <c r="P4" s="88">
        <v>43468.634039351855</v>
      </c>
      <c r="Q4" s="86" t="s">
        <v>227</v>
      </c>
      <c r="R4" s="90" t="s">
        <v>230</v>
      </c>
      <c r="S4" s="86" t="s">
        <v>232</v>
      </c>
      <c r="T4" s="86" t="s">
        <v>234</v>
      </c>
      <c r="U4" s="86"/>
      <c r="V4" s="90" t="s">
        <v>236</v>
      </c>
      <c r="W4" s="88">
        <v>43468.634039351855</v>
      </c>
      <c r="X4" s="90" t="s">
        <v>239</v>
      </c>
      <c r="Y4" s="86"/>
      <c r="Z4" s="86"/>
      <c r="AA4" s="92" t="s">
        <v>243</v>
      </c>
      <c r="AB4" s="86"/>
      <c r="AC4" s="86" t="b">
        <v>0</v>
      </c>
      <c r="AD4" s="86">
        <v>1</v>
      </c>
      <c r="AE4" s="92" t="s">
        <v>246</v>
      </c>
      <c r="AF4" s="86" t="b">
        <v>1</v>
      </c>
      <c r="AG4" s="86" t="s">
        <v>247</v>
      </c>
      <c r="AH4" s="86"/>
      <c r="AI4" s="92" t="s">
        <v>248</v>
      </c>
      <c r="AJ4" s="86" t="b">
        <v>0</v>
      </c>
      <c r="AK4" s="86">
        <v>1</v>
      </c>
      <c r="AL4" s="92" t="s">
        <v>246</v>
      </c>
      <c r="AM4" s="86" t="s">
        <v>250</v>
      </c>
      <c r="AN4" s="86" t="b">
        <v>0</v>
      </c>
      <c r="AO4" s="92" t="s">
        <v>243</v>
      </c>
      <c r="AP4" s="86" t="s">
        <v>176</v>
      </c>
      <c r="AQ4" s="86">
        <v>0</v>
      </c>
      <c r="AR4" s="86">
        <v>0</v>
      </c>
      <c r="AS4" s="86" t="s">
        <v>251</v>
      </c>
      <c r="AT4" s="86" t="s">
        <v>252</v>
      </c>
      <c r="AU4" s="86" t="s">
        <v>253</v>
      </c>
      <c r="AV4" s="86" t="s">
        <v>254</v>
      </c>
      <c r="AW4" s="86" t="s">
        <v>255</v>
      </c>
      <c r="AX4" s="86" t="s">
        <v>256</v>
      </c>
      <c r="AY4" s="86" t="s">
        <v>257</v>
      </c>
      <c r="AZ4" s="90" t="s">
        <v>258</v>
      </c>
      <c r="BA4">
        <v>1</v>
      </c>
      <c r="BB4" s="85" t="str">
        <f>REPLACE(INDEX(GroupVertices[Group],MATCH(Edges24[[#This Row],[Vertex 1]],GroupVertices[Vertex],0)),1,1,"")</f>
        <v>2</v>
      </c>
      <c r="BC4" s="85" t="str">
        <f>REPLACE(INDEX(GroupVertices[Group],MATCH(Edges24[[#This Row],[Vertex 2]],GroupVertices[Vertex],0)),1,1,"")</f>
        <v>2</v>
      </c>
      <c r="BD4" s="51"/>
      <c r="BE4" s="52"/>
      <c r="BF4" s="51"/>
      <c r="BG4" s="52"/>
      <c r="BH4" s="51"/>
      <c r="BI4" s="52"/>
      <c r="BJ4" s="51"/>
      <c r="BK4" s="52"/>
      <c r="BL4" s="51"/>
    </row>
    <row r="5" spans="1:64" ht="15">
      <c r="A5" s="84" t="s">
        <v>213</v>
      </c>
      <c r="B5" s="84" t="s">
        <v>220</v>
      </c>
      <c r="C5" s="53"/>
      <c r="D5" s="54"/>
      <c r="E5" s="65"/>
      <c r="F5" s="55"/>
      <c r="G5" s="53"/>
      <c r="H5" s="57"/>
      <c r="I5" s="56"/>
      <c r="J5" s="56"/>
      <c r="K5" s="36" t="s">
        <v>65</v>
      </c>
      <c r="L5" s="83">
        <v>9</v>
      </c>
      <c r="M5" s="83"/>
      <c r="N5" s="63"/>
      <c r="O5" s="86" t="s">
        <v>225</v>
      </c>
      <c r="P5" s="88">
        <v>43468.85663194444</v>
      </c>
      <c r="Q5" s="86" t="s">
        <v>228</v>
      </c>
      <c r="R5" s="86"/>
      <c r="S5" s="86"/>
      <c r="T5" s="86"/>
      <c r="U5" s="86"/>
      <c r="V5" s="90" t="s">
        <v>236</v>
      </c>
      <c r="W5" s="88">
        <v>43468.85663194444</v>
      </c>
      <c r="X5" s="90" t="s">
        <v>240</v>
      </c>
      <c r="Y5" s="86"/>
      <c r="Z5" s="86"/>
      <c r="AA5" s="92" t="s">
        <v>244</v>
      </c>
      <c r="AB5" s="86"/>
      <c r="AC5" s="86" t="b">
        <v>0</v>
      </c>
      <c r="AD5" s="86">
        <v>0</v>
      </c>
      <c r="AE5" s="92" t="s">
        <v>246</v>
      </c>
      <c r="AF5" s="86" t="b">
        <v>1</v>
      </c>
      <c r="AG5" s="86" t="s">
        <v>247</v>
      </c>
      <c r="AH5" s="86"/>
      <c r="AI5" s="92" t="s">
        <v>248</v>
      </c>
      <c r="AJ5" s="86" t="b">
        <v>0</v>
      </c>
      <c r="AK5" s="86">
        <v>1</v>
      </c>
      <c r="AL5" s="92" t="s">
        <v>243</v>
      </c>
      <c r="AM5" s="86" t="s">
        <v>250</v>
      </c>
      <c r="AN5" s="86" t="b">
        <v>0</v>
      </c>
      <c r="AO5" s="92" t="s">
        <v>243</v>
      </c>
      <c r="AP5" s="86" t="s">
        <v>176</v>
      </c>
      <c r="AQ5" s="86">
        <v>0</v>
      </c>
      <c r="AR5" s="86">
        <v>0</v>
      </c>
      <c r="AS5" s="86"/>
      <c r="AT5" s="86"/>
      <c r="AU5" s="86"/>
      <c r="AV5" s="86"/>
      <c r="AW5" s="86"/>
      <c r="AX5" s="86"/>
      <c r="AY5" s="86"/>
      <c r="AZ5" s="86"/>
      <c r="BA5">
        <v>2</v>
      </c>
      <c r="BB5" s="85" t="str">
        <f>REPLACE(INDEX(GroupVertices[Group],MATCH(Edges24[[#This Row],[Vertex 1]],GroupVertices[Vertex],0)),1,1,"")</f>
        <v>2</v>
      </c>
      <c r="BC5" s="85" t="str">
        <f>REPLACE(INDEX(GroupVertices[Group],MATCH(Edges24[[#This Row],[Vertex 2]],GroupVertices[Vertex],0)),1,1,"")</f>
        <v>1</v>
      </c>
      <c r="BD5" s="51"/>
      <c r="BE5" s="52"/>
      <c r="BF5" s="51"/>
      <c r="BG5" s="52"/>
      <c r="BH5" s="51"/>
      <c r="BI5" s="52"/>
      <c r="BJ5" s="51"/>
      <c r="BK5" s="52"/>
      <c r="BL5" s="51"/>
    </row>
    <row r="6" spans="1:64" ht="15">
      <c r="A6" s="84" t="s">
        <v>214</v>
      </c>
      <c r="B6" s="84" t="s">
        <v>220</v>
      </c>
      <c r="C6" s="53"/>
      <c r="D6" s="54"/>
      <c r="E6" s="65"/>
      <c r="F6" s="55"/>
      <c r="G6" s="53"/>
      <c r="H6" s="57"/>
      <c r="I6" s="56"/>
      <c r="J6" s="56"/>
      <c r="K6" s="36" t="s">
        <v>65</v>
      </c>
      <c r="L6" s="83">
        <v>10</v>
      </c>
      <c r="M6" s="83"/>
      <c r="N6" s="63"/>
      <c r="O6" s="86" t="s">
        <v>225</v>
      </c>
      <c r="P6" s="88">
        <v>43483.88340277778</v>
      </c>
      <c r="Q6" s="86" t="s">
        <v>228</v>
      </c>
      <c r="R6" s="86"/>
      <c r="S6" s="86"/>
      <c r="T6" s="86"/>
      <c r="U6" s="86"/>
      <c r="V6" s="90" t="s">
        <v>237</v>
      </c>
      <c r="W6" s="88">
        <v>43483.88340277778</v>
      </c>
      <c r="X6" s="90" t="s">
        <v>241</v>
      </c>
      <c r="Y6" s="86"/>
      <c r="Z6" s="86"/>
      <c r="AA6" s="92" t="s">
        <v>245</v>
      </c>
      <c r="AB6" s="86"/>
      <c r="AC6" s="86" t="b">
        <v>0</v>
      </c>
      <c r="AD6" s="86">
        <v>0</v>
      </c>
      <c r="AE6" s="92" t="s">
        <v>246</v>
      </c>
      <c r="AF6" s="86" t="b">
        <v>1</v>
      </c>
      <c r="AG6" s="86" t="s">
        <v>247</v>
      </c>
      <c r="AH6" s="86"/>
      <c r="AI6" s="92" t="s">
        <v>248</v>
      </c>
      <c r="AJ6" s="86" t="b">
        <v>0</v>
      </c>
      <c r="AK6" s="86">
        <v>2</v>
      </c>
      <c r="AL6" s="92" t="s">
        <v>243</v>
      </c>
      <c r="AM6" s="86" t="s">
        <v>250</v>
      </c>
      <c r="AN6" s="86" t="b">
        <v>0</v>
      </c>
      <c r="AO6" s="92" t="s">
        <v>243</v>
      </c>
      <c r="AP6" s="86" t="s">
        <v>176</v>
      </c>
      <c r="AQ6" s="86">
        <v>0</v>
      </c>
      <c r="AR6" s="86">
        <v>0</v>
      </c>
      <c r="AS6" s="86"/>
      <c r="AT6" s="86"/>
      <c r="AU6" s="86"/>
      <c r="AV6" s="86"/>
      <c r="AW6" s="86"/>
      <c r="AX6" s="86"/>
      <c r="AY6" s="86"/>
      <c r="AZ6" s="86"/>
      <c r="BA6">
        <v>1</v>
      </c>
      <c r="BB6" s="85" t="str">
        <f>REPLACE(INDEX(GroupVertices[Group],MATCH(Edges24[[#This Row],[Vertex 1]],GroupVertices[Vertex],0)),1,1,"")</f>
        <v>1</v>
      </c>
      <c r="BC6" s="85" t="str">
        <f>REPLACE(INDEX(GroupVertices[Group],MATCH(Edges24[[#This Row],[Vertex 2]],GroupVertices[Vertex],0)),1,1,"")</f>
        <v>1</v>
      </c>
      <c r="BD6" s="51"/>
      <c r="BE6" s="52"/>
      <c r="BF6" s="51"/>
      <c r="BG6" s="52"/>
      <c r="BH6" s="51"/>
      <c r="BI6" s="52"/>
      <c r="BJ6" s="51"/>
      <c r="BK6" s="52"/>
      <c r="BL6" s="51"/>
    </row>
    <row r="7" spans="1:11" ht="15">
      <c r="A7"/>
      <c r="B7"/>
      <c r="C7"/>
      <c r="D7"/>
      <c r="E7"/>
      <c r="F7"/>
      <c r="G7"/>
      <c r="H7"/>
      <c r="I7"/>
      <c r="J7"/>
      <c r="K7"/>
    </row>
    <row r="8" spans="1:11" ht="15">
      <c r="A8"/>
      <c r="B8"/>
      <c r="C8"/>
      <c r="D8"/>
      <c r="E8"/>
      <c r="F8"/>
      <c r="G8"/>
      <c r="H8"/>
      <c r="I8"/>
      <c r="J8"/>
      <c r="K8"/>
    </row>
    <row r="9" spans="1:11" ht="15">
      <c r="A9"/>
      <c r="B9"/>
      <c r="C9"/>
      <c r="D9"/>
      <c r="E9"/>
      <c r="F9"/>
      <c r="G9"/>
      <c r="H9"/>
      <c r="I9"/>
      <c r="J9"/>
      <c r="K9"/>
    </row>
    <row r="10" spans="1:11" ht="15">
      <c r="A10"/>
      <c r="B10"/>
      <c r="C10"/>
      <c r="D10"/>
      <c r="E10"/>
      <c r="F10"/>
      <c r="G10"/>
      <c r="H10"/>
      <c r="I10"/>
      <c r="J10"/>
      <c r="K10"/>
    </row>
    <row r="11" spans="1:11" ht="15">
      <c r="A11"/>
      <c r="B11"/>
      <c r="C11"/>
      <c r="D11"/>
      <c r="E11"/>
      <c r="F11"/>
      <c r="G11"/>
      <c r="H11"/>
      <c r="I11"/>
      <c r="J11"/>
      <c r="K11"/>
    </row>
    <row r="12" spans="1:11" ht="15">
      <c r="A12"/>
      <c r="B12"/>
      <c r="C12"/>
      <c r="D12"/>
      <c r="E12"/>
      <c r="F12"/>
      <c r="G12"/>
      <c r="H12"/>
      <c r="I12"/>
      <c r="J12"/>
      <c r="K12"/>
    </row>
    <row r="13" spans="1:11" ht="15">
      <c r="A13"/>
      <c r="B13"/>
      <c r="C13"/>
      <c r="D13"/>
      <c r="E13"/>
      <c r="F13"/>
      <c r="G13"/>
      <c r="H13"/>
      <c r="I13"/>
      <c r="J13"/>
      <c r="K13"/>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
    <dataValidation allowBlank="1" showInputMessage="1" showErrorMessage="1" promptTitle="Vertex 2 Name" prompt="Enter the name of the edge's second vertex." sqref="B3:B6"/>
    <dataValidation allowBlank="1" showInputMessage="1" showErrorMessage="1" promptTitle="Vertex 1 Name" prompt="Enter the name of the edge's first vertex." sqref="A3:A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
    <dataValidation allowBlank="1" showInputMessage="1" promptTitle="Edge Width" prompt="Enter an optional edge width between 1 and 10." errorTitle="Invalid Edge Width" error="The optional edge width must be a whole number between 1 and 10." sqref="D3:D6"/>
    <dataValidation allowBlank="1" showInputMessage="1" promptTitle="Edge Color" prompt="To select an optional edge color, right-click and select Select Color on the right-click menu." sqref="C3:C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
    <dataValidation allowBlank="1" showErrorMessage="1" sqref="N2:N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
  </dataValidations>
  <hyperlinks>
    <hyperlink ref="R3" r:id="rId1" display="http://www.socialrivals.com/"/>
    <hyperlink ref="R4" r:id="rId2" display="https://twitter.com/thepmcf/status/1080841215262711808"/>
    <hyperlink ref="V3" r:id="rId3" display="http://pbs.twimg.com/profile_images/495235732819034112/3k-ynFVE_normal.png"/>
    <hyperlink ref="V4" r:id="rId4" display="http://pbs.twimg.com/profile_images/675080091035172864/HZ5U7SeD_normal.jpg"/>
    <hyperlink ref="V5" r:id="rId5" display="http://pbs.twimg.com/profile_images/675080091035172864/HZ5U7SeD_normal.jpg"/>
    <hyperlink ref="V6" r:id="rId6" display="http://pbs.twimg.com/profile_images/697284678760292353/bTd3nDOn_normal.png"/>
    <hyperlink ref="X3" r:id="rId7" display="https://twitter.com/#!/socialrivals/status/1071293551714205696"/>
    <hyperlink ref="X4" r:id="rId8" display="https://twitter.com/#!/timmcclure23/status/1080844486710906880"/>
    <hyperlink ref="X5" r:id="rId9" display="https://twitter.com/#!/timmcclure23/status/1080925150223183874"/>
    <hyperlink ref="X6" r:id="rId10" display="https://twitter.com/#!/onewalktoronto/status/1086370671213641728"/>
    <hyperlink ref="AZ4" r:id="rId11" display="https://api.twitter.com/1.1/geo/id/61ecf520fef6ce72.json"/>
  </hyperlinks>
  <printOptions/>
  <pageMargins left="0.7" right="0.7" top="0.75" bottom="0.75" header="0.3" footer="0.3"/>
  <pageSetup horizontalDpi="600" verticalDpi="600" orientation="portrait" r:id="rId15"/>
  <legacyDrawing r:id="rId13"/>
  <tableParts>
    <tablePart r:id="rId14"/>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549</v>
      </c>
      <c r="B1" s="13" t="s">
        <v>34</v>
      </c>
    </row>
    <row r="2" spans="1:2" ht="15">
      <c r="A2" s="124" t="s">
        <v>213</v>
      </c>
      <c r="B2" s="85">
        <v>70</v>
      </c>
    </row>
    <row r="3" spans="1:2" ht="15">
      <c r="A3" s="124" t="s">
        <v>214</v>
      </c>
      <c r="B3" s="85">
        <v>10</v>
      </c>
    </row>
    <row r="4" spans="1:2" ht="15">
      <c r="A4" s="124" t="s">
        <v>221</v>
      </c>
      <c r="B4" s="85">
        <v>0</v>
      </c>
    </row>
    <row r="5" spans="1:2" ht="15">
      <c r="A5" s="124" t="s">
        <v>220</v>
      </c>
      <c r="B5" s="85">
        <v>0</v>
      </c>
    </row>
    <row r="6" spans="1:2" ht="15">
      <c r="A6" s="124" t="s">
        <v>224</v>
      </c>
      <c r="B6" s="85">
        <v>0</v>
      </c>
    </row>
    <row r="7" spans="1:2" ht="15">
      <c r="A7" s="124" t="s">
        <v>223</v>
      </c>
      <c r="B7" s="85">
        <v>0</v>
      </c>
    </row>
    <row r="8" spans="1:2" ht="15">
      <c r="A8" s="124" t="s">
        <v>222</v>
      </c>
      <c r="B8" s="85">
        <v>0</v>
      </c>
    </row>
    <row r="9" spans="1:2" ht="15">
      <c r="A9" s="124" t="s">
        <v>216</v>
      </c>
      <c r="B9" s="85">
        <v>0</v>
      </c>
    </row>
    <row r="10" spans="1:2" ht="15">
      <c r="A10" s="124" t="s">
        <v>215</v>
      </c>
      <c r="B10" s="85">
        <v>0</v>
      </c>
    </row>
    <row r="11" spans="1:2" ht="15">
      <c r="A11" s="124" t="s">
        <v>212</v>
      </c>
      <c r="B11" s="85">
        <v>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0"/>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5" t="s">
        <v>551</v>
      </c>
      <c r="B25" t="s">
        <v>550</v>
      </c>
    </row>
    <row r="26" spans="1:2" ht="15">
      <c r="A26" s="136">
        <v>43442.2784837963</v>
      </c>
      <c r="B26" s="3">
        <v>1</v>
      </c>
    </row>
    <row r="27" spans="1:2" ht="15">
      <c r="A27" s="136">
        <v>43468.634039351855</v>
      </c>
      <c r="B27" s="3">
        <v>1</v>
      </c>
    </row>
    <row r="28" spans="1:2" ht="15">
      <c r="A28" s="136">
        <v>43468.85663194444</v>
      </c>
      <c r="B28" s="3">
        <v>1</v>
      </c>
    </row>
    <row r="29" spans="1:2" ht="15">
      <c r="A29" s="136">
        <v>43483.88340277778</v>
      </c>
      <c r="B29" s="3">
        <v>1</v>
      </c>
    </row>
    <row r="30" spans="1:2" ht="15">
      <c r="A30" s="136" t="s">
        <v>552</v>
      </c>
      <c r="B30" s="3">
        <v>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259</v>
      </c>
      <c r="AE2" s="13" t="s">
        <v>260</v>
      </c>
      <c r="AF2" s="13" t="s">
        <v>261</v>
      </c>
      <c r="AG2" s="13" t="s">
        <v>262</v>
      </c>
      <c r="AH2" s="13" t="s">
        <v>263</v>
      </c>
      <c r="AI2" s="13" t="s">
        <v>264</v>
      </c>
      <c r="AJ2" s="13" t="s">
        <v>265</v>
      </c>
      <c r="AK2" s="13" t="s">
        <v>266</v>
      </c>
      <c r="AL2" s="13" t="s">
        <v>267</v>
      </c>
      <c r="AM2" s="13" t="s">
        <v>268</v>
      </c>
      <c r="AN2" s="13" t="s">
        <v>269</v>
      </c>
      <c r="AO2" s="13" t="s">
        <v>270</v>
      </c>
      <c r="AP2" s="13" t="s">
        <v>271</v>
      </c>
      <c r="AQ2" s="13" t="s">
        <v>272</v>
      </c>
      <c r="AR2" s="13" t="s">
        <v>273</v>
      </c>
      <c r="AS2" s="13" t="s">
        <v>192</v>
      </c>
      <c r="AT2" s="13" t="s">
        <v>274</v>
      </c>
      <c r="AU2" s="13" t="s">
        <v>275</v>
      </c>
      <c r="AV2" s="13" t="s">
        <v>276</v>
      </c>
      <c r="AW2" s="13" t="s">
        <v>277</v>
      </c>
      <c r="AX2" s="13" t="s">
        <v>278</v>
      </c>
      <c r="AY2" s="13" t="s">
        <v>279</v>
      </c>
      <c r="AZ2" s="13" t="s">
        <v>423</v>
      </c>
      <c r="BA2" s="130" t="s">
        <v>504</v>
      </c>
      <c r="BB2" s="130" t="s">
        <v>505</v>
      </c>
      <c r="BC2" s="130" t="s">
        <v>506</v>
      </c>
      <c r="BD2" s="130" t="s">
        <v>507</v>
      </c>
      <c r="BE2" s="130" t="s">
        <v>508</v>
      </c>
      <c r="BF2" s="130" t="s">
        <v>509</v>
      </c>
      <c r="BG2" s="130" t="s">
        <v>510</v>
      </c>
      <c r="BH2" s="130" t="s">
        <v>514</v>
      </c>
      <c r="BI2" s="130" t="s">
        <v>516</v>
      </c>
      <c r="BJ2" s="130" t="s">
        <v>520</v>
      </c>
      <c r="BK2" s="130" t="s">
        <v>538</v>
      </c>
      <c r="BL2" s="130" t="s">
        <v>539</v>
      </c>
      <c r="BM2" s="130" t="s">
        <v>540</v>
      </c>
      <c r="BN2" s="130" t="s">
        <v>541</v>
      </c>
      <c r="BO2" s="130" t="s">
        <v>542</v>
      </c>
      <c r="BP2" s="130" t="s">
        <v>543</v>
      </c>
      <c r="BQ2" s="130" t="s">
        <v>544</v>
      </c>
      <c r="BR2" s="130" t="s">
        <v>545</v>
      </c>
      <c r="BS2" s="130" t="s">
        <v>547</v>
      </c>
      <c r="BT2" s="3"/>
      <c r="BU2" s="3"/>
    </row>
    <row r="3" spans="1:73" ht="15" customHeight="1">
      <c r="A3" s="50" t="s">
        <v>212</v>
      </c>
      <c r="B3" s="53"/>
      <c r="C3" s="53" t="s">
        <v>64</v>
      </c>
      <c r="D3" s="54">
        <v>162</v>
      </c>
      <c r="E3" s="55"/>
      <c r="F3" s="112" t="s">
        <v>235</v>
      </c>
      <c r="G3" s="53"/>
      <c r="H3" s="57" t="s">
        <v>212</v>
      </c>
      <c r="I3" s="56"/>
      <c r="J3" s="56"/>
      <c r="K3" s="114" t="s">
        <v>365</v>
      </c>
      <c r="L3" s="59">
        <v>1</v>
      </c>
      <c r="M3" s="60">
        <v>8532.28515625</v>
      </c>
      <c r="N3" s="60">
        <v>1552.785888671875</v>
      </c>
      <c r="O3" s="58"/>
      <c r="P3" s="61"/>
      <c r="Q3" s="61"/>
      <c r="R3" s="51"/>
      <c r="S3" s="51">
        <v>0</v>
      </c>
      <c r="T3" s="51">
        <v>1</v>
      </c>
      <c r="U3" s="52">
        <v>0</v>
      </c>
      <c r="V3" s="52">
        <v>1</v>
      </c>
      <c r="W3" s="52">
        <v>0</v>
      </c>
      <c r="X3" s="52">
        <v>0.999961</v>
      </c>
      <c r="Y3" s="52">
        <v>0</v>
      </c>
      <c r="Z3" s="52">
        <v>0</v>
      </c>
      <c r="AA3" s="62">
        <v>3</v>
      </c>
      <c r="AB3" s="62"/>
      <c r="AC3" s="63"/>
      <c r="AD3" s="85" t="s">
        <v>249</v>
      </c>
      <c r="AE3" s="85">
        <v>1049</v>
      </c>
      <c r="AF3" s="85">
        <v>239</v>
      </c>
      <c r="AG3" s="85">
        <v>5174</v>
      </c>
      <c r="AH3" s="85">
        <v>0</v>
      </c>
      <c r="AI3" s="85"/>
      <c r="AJ3" s="85" t="s">
        <v>292</v>
      </c>
      <c r="AK3" s="85"/>
      <c r="AL3" s="89" t="s">
        <v>310</v>
      </c>
      <c r="AM3" s="85"/>
      <c r="AN3" s="87">
        <v>41850.602858796294</v>
      </c>
      <c r="AO3" s="85"/>
      <c r="AP3" s="85" t="b">
        <v>1</v>
      </c>
      <c r="AQ3" s="85" t="b">
        <v>0</v>
      </c>
      <c r="AR3" s="85" t="b">
        <v>0</v>
      </c>
      <c r="AS3" s="85" t="s">
        <v>247</v>
      </c>
      <c r="AT3" s="85">
        <v>52</v>
      </c>
      <c r="AU3" s="89" t="s">
        <v>335</v>
      </c>
      <c r="AV3" s="85" t="b">
        <v>0</v>
      </c>
      <c r="AW3" s="85" t="s">
        <v>351</v>
      </c>
      <c r="AX3" s="89" t="s">
        <v>352</v>
      </c>
      <c r="AY3" s="85" t="s">
        <v>66</v>
      </c>
      <c r="AZ3" s="85" t="str">
        <f>REPLACE(INDEX(GroupVertices[Group],MATCH(Vertices[[#This Row],[Vertex]],GroupVertices[Vertex],0)),1,1,"")</f>
        <v>3</v>
      </c>
      <c r="BA3" s="51" t="s">
        <v>229</v>
      </c>
      <c r="BB3" s="51" t="s">
        <v>229</v>
      </c>
      <c r="BC3" s="51" t="s">
        <v>231</v>
      </c>
      <c r="BD3" s="51" t="s">
        <v>231</v>
      </c>
      <c r="BE3" s="51" t="s">
        <v>233</v>
      </c>
      <c r="BF3" s="51" t="s">
        <v>233</v>
      </c>
      <c r="BG3" s="131" t="s">
        <v>511</v>
      </c>
      <c r="BH3" s="131" t="s">
        <v>511</v>
      </c>
      <c r="BI3" s="131" t="s">
        <v>517</v>
      </c>
      <c r="BJ3" s="131" t="s">
        <v>517</v>
      </c>
      <c r="BK3" s="131">
        <v>0</v>
      </c>
      <c r="BL3" s="134">
        <v>0</v>
      </c>
      <c r="BM3" s="131">
        <v>1</v>
      </c>
      <c r="BN3" s="134">
        <v>8.333333333333334</v>
      </c>
      <c r="BO3" s="131">
        <v>0</v>
      </c>
      <c r="BP3" s="134">
        <v>0</v>
      </c>
      <c r="BQ3" s="131">
        <v>11</v>
      </c>
      <c r="BR3" s="134">
        <v>91.66666666666667</v>
      </c>
      <c r="BS3" s="131">
        <v>12</v>
      </c>
      <c r="BT3" s="3"/>
      <c r="BU3" s="3"/>
    </row>
    <row r="4" spans="1:76" ht="15">
      <c r="A4" s="14" t="s">
        <v>215</v>
      </c>
      <c r="B4" s="15"/>
      <c r="C4" s="15" t="s">
        <v>64</v>
      </c>
      <c r="D4" s="93">
        <v>255.6191730561174</v>
      </c>
      <c r="E4" s="81"/>
      <c r="F4" s="112" t="s">
        <v>341</v>
      </c>
      <c r="G4" s="15"/>
      <c r="H4" s="16" t="s">
        <v>215</v>
      </c>
      <c r="I4" s="66"/>
      <c r="J4" s="66"/>
      <c r="K4" s="114" t="s">
        <v>366</v>
      </c>
      <c r="L4" s="94">
        <v>1</v>
      </c>
      <c r="M4" s="95">
        <v>5988.6796875</v>
      </c>
      <c r="N4" s="95">
        <v>1552.785888671875</v>
      </c>
      <c r="O4" s="77"/>
      <c r="P4" s="96"/>
      <c r="Q4" s="96"/>
      <c r="R4" s="97"/>
      <c r="S4" s="51">
        <v>1</v>
      </c>
      <c r="T4" s="51">
        <v>0</v>
      </c>
      <c r="U4" s="52">
        <v>0</v>
      </c>
      <c r="V4" s="52">
        <v>1</v>
      </c>
      <c r="W4" s="52">
        <v>0</v>
      </c>
      <c r="X4" s="52">
        <v>0.999961</v>
      </c>
      <c r="Y4" s="52">
        <v>0</v>
      </c>
      <c r="Z4" s="52">
        <v>0</v>
      </c>
      <c r="AA4" s="82">
        <v>4</v>
      </c>
      <c r="AB4" s="82"/>
      <c r="AC4" s="98"/>
      <c r="AD4" s="85" t="s">
        <v>280</v>
      </c>
      <c r="AE4" s="85">
        <v>1442</v>
      </c>
      <c r="AF4" s="85">
        <v>2614</v>
      </c>
      <c r="AG4" s="85">
        <v>4136</v>
      </c>
      <c r="AH4" s="85">
        <v>1590</v>
      </c>
      <c r="AI4" s="85"/>
      <c r="AJ4" s="85" t="s">
        <v>293</v>
      </c>
      <c r="AK4" s="85" t="s">
        <v>305</v>
      </c>
      <c r="AL4" s="89" t="s">
        <v>311</v>
      </c>
      <c r="AM4" s="85"/>
      <c r="AN4" s="87">
        <v>39906.683229166665</v>
      </c>
      <c r="AO4" s="89" t="s">
        <v>323</v>
      </c>
      <c r="AP4" s="85" t="b">
        <v>0</v>
      </c>
      <c r="AQ4" s="85" t="b">
        <v>0</v>
      </c>
      <c r="AR4" s="85" t="b">
        <v>1</v>
      </c>
      <c r="AS4" s="85" t="s">
        <v>247</v>
      </c>
      <c r="AT4" s="85">
        <v>72</v>
      </c>
      <c r="AU4" s="89" t="s">
        <v>336</v>
      </c>
      <c r="AV4" s="85" t="b">
        <v>0</v>
      </c>
      <c r="AW4" s="85" t="s">
        <v>351</v>
      </c>
      <c r="AX4" s="89" t="s">
        <v>353</v>
      </c>
      <c r="AY4" s="85" t="s">
        <v>65</v>
      </c>
      <c r="AZ4" s="85" t="str">
        <f>REPLACE(INDEX(GroupVertices[Group],MATCH(Vertices[[#This Row],[Vertex]],GroupVertices[Vertex],0)),1,1,"")</f>
        <v>3</v>
      </c>
      <c r="BA4" s="51"/>
      <c r="BB4" s="51"/>
      <c r="BC4" s="51"/>
      <c r="BD4" s="51"/>
      <c r="BE4" s="51"/>
      <c r="BF4" s="51"/>
      <c r="BG4" s="51"/>
      <c r="BH4" s="51"/>
      <c r="BI4" s="51"/>
      <c r="BJ4" s="51"/>
      <c r="BK4" s="51"/>
      <c r="BL4" s="52"/>
      <c r="BM4" s="51"/>
      <c r="BN4" s="52"/>
      <c r="BO4" s="51"/>
      <c r="BP4" s="52"/>
      <c r="BQ4" s="51"/>
      <c r="BR4" s="52"/>
      <c r="BS4" s="51"/>
      <c r="BT4" s="2"/>
      <c r="BU4" s="3"/>
      <c r="BV4" s="3"/>
      <c r="BW4" s="3"/>
      <c r="BX4" s="3"/>
    </row>
    <row r="5" spans="1:76" ht="15">
      <c r="A5" s="14" t="s">
        <v>213</v>
      </c>
      <c r="B5" s="15"/>
      <c r="C5" s="15" t="s">
        <v>64</v>
      </c>
      <c r="D5" s="93">
        <v>267.24765981466675</v>
      </c>
      <c r="E5" s="81"/>
      <c r="F5" s="112" t="s">
        <v>236</v>
      </c>
      <c r="G5" s="15"/>
      <c r="H5" s="16" t="s">
        <v>213</v>
      </c>
      <c r="I5" s="66"/>
      <c r="J5" s="66"/>
      <c r="K5" s="114" t="s">
        <v>367</v>
      </c>
      <c r="L5" s="94">
        <v>9999</v>
      </c>
      <c r="M5" s="95">
        <v>7260.48193359375</v>
      </c>
      <c r="N5" s="95">
        <v>6375.8330078125</v>
      </c>
      <c r="O5" s="77"/>
      <c r="P5" s="96"/>
      <c r="Q5" s="96"/>
      <c r="R5" s="97"/>
      <c r="S5" s="51">
        <v>1</v>
      </c>
      <c r="T5" s="51">
        <v>10</v>
      </c>
      <c r="U5" s="52">
        <v>70</v>
      </c>
      <c r="V5" s="52">
        <v>0.1</v>
      </c>
      <c r="W5" s="52">
        <v>0.198763</v>
      </c>
      <c r="X5" s="52">
        <v>3.522457</v>
      </c>
      <c r="Y5" s="52">
        <v>0.05555555555555555</v>
      </c>
      <c r="Z5" s="52">
        <v>0.1</v>
      </c>
      <c r="AA5" s="82">
        <v>5</v>
      </c>
      <c r="AB5" s="82"/>
      <c r="AC5" s="98"/>
      <c r="AD5" s="85" t="s">
        <v>281</v>
      </c>
      <c r="AE5" s="85">
        <v>4998</v>
      </c>
      <c r="AF5" s="85">
        <v>2909</v>
      </c>
      <c r="AG5" s="85">
        <v>12021</v>
      </c>
      <c r="AH5" s="85">
        <v>12610</v>
      </c>
      <c r="AI5" s="85"/>
      <c r="AJ5" s="85" t="s">
        <v>294</v>
      </c>
      <c r="AK5" s="85" t="s">
        <v>254</v>
      </c>
      <c r="AL5" s="89" t="s">
        <v>312</v>
      </c>
      <c r="AM5" s="85"/>
      <c r="AN5" s="87">
        <v>41540.873344907406</v>
      </c>
      <c r="AO5" s="89" t="s">
        <v>324</v>
      </c>
      <c r="AP5" s="85" t="b">
        <v>0</v>
      </c>
      <c r="AQ5" s="85" t="b">
        <v>0</v>
      </c>
      <c r="AR5" s="85" t="b">
        <v>1</v>
      </c>
      <c r="AS5" s="85" t="s">
        <v>247</v>
      </c>
      <c r="AT5" s="85">
        <v>66</v>
      </c>
      <c r="AU5" s="89" t="s">
        <v>337</v>
      </c>
      <c r="AV5" s="85" t="b">
        <v>0</v>
      </c>
      <c r="AW5" s="85" t="s">
        <v>351</v>
      </c>
      <c r="AX5" s="89" t="s">
        <v>354</v>
      </c>
      <c r="AY5" s="85" t="s">
        <v>66</v>
      </c>
      <c r="AZ5" s="85" t="str">
        <f>REPLACE(INDEX(GroupVertices[Group],MATCH(Vertices[[#This Row],[Vertex]],GroupVertices[Vertex],0)),1,1,"")</f>
        <v>2</v>
      </c>
      <c r="BA5" s="51" t="s">
        <v>230</v>
      </c>
      <c r="BB5" s="51" t="s">
        <v>230</v>
      </c>
      <c r="BC5" s="51" t="s">
        <v>232</v>
      </c>
      <c r="BD5" s="51" t="s">
        <v>232</v>
      </c>
      <c r="BE5" s="51" t="s">
        <v>234</v>
      </c>
      <c r="BF5" s="51" t="s">
        <v>234</v>
      </c>
      <c r="BG5" s="131" t="s">
        <v>512</v>
      </c>
      <c r="BH5" s="131" t="s">
        <v>515</v>
      </c>
      <c r="BI5" s="131" t="s">
        <v>518</v>
      </c>
      <c r="BJ5" s="131" t="s">
        <v>521</v>
      </c>
      <c r="BK5" s="131">
        <v>4</v>
      </c>
      <c r="BL5" s="134">
        <v>8.333333333333334</v>
      </c>
      <c r="BM5" s="131">
        <v>0</v>
      </c>
      <c r="BN5" s="134">
        <v>0</v>
      </c>
      <c r="BO5" s="131">
        <v>0</v>
      </c>
      <c r="BP5" s="134">
        <v>0</v>
      </c>
      <c r="BQ5" s="131">
        <v>44</v>
      </c>
      <c r="BR5" s="134">
        <v>91.66666666666667</v>
      </c>
      <c r="BS5" s="131">
        <v>48</v>
      </c>
      <c r="BT5" s="2"/>
      <c r="BU5" s="3"/>
      <c r="BV5" s="3"/>
      <c r="BW5" s="3"/>
      <c r="BX5" s="3"/>
    </row>
    <row r="6" spans="1:76" ht="15">
      <c r="A6" s="14" t="s">
        <v>216</v>
      </c>
      <c r="B6" s="15"/>
      <c r="C6" s="15" t="s">
        <v>64</v>
      </c>
      <c r="D6" s="93">
        <v>1000</v>
      </c>
      <c r="E6" s="81"/>
      <c r="F6" s="112" t="s">
        <v>342</v>
      </c>
      <c r="G6" s="15"/>
      <c r="H6" s="16" t="s">
        <v>216</v>
      </c>
      <c r="I6" s="66"/>
      <c r="J6" s="66"/>
      <c r="K6" s="114" t="s">
        <v>368</v>
      </c>
      <c r="L6" s="94">
        <v>1</v>
      </c>
      <c r="M6" s="95">
        <v>8128.912109375</v>
      </c>
      <c r="N6" s="95">
        <v>9181.3173828125</v>
      </c>
      <c r="O6" s="77"/>
      <c r="P6" s="96"/>
      <c r="Q6" s="96"/>
      <c r="R6" s="97"/>
      <c r="S6" s="51">
        <v>1</v>
      </c>
      <c r="T6" s="51">
        <v>0</v>
      </c>
      <c r="U6" s="52">
        <v>0</v>
      </c>
      <c r="V6" s="52">
        <v>0.052632</v>
      </c>
      <c r="W6" s="52">
        <v>0.049307</v>
      </c>
      <c r="X6" s="52">
        <v>0.449407</v>
      </c>
      <c r="Y6" s="52">
        <v>0</v>
      </c>
      <c r="Z6" s="52">
        <v>0</v>
      </c>
      <c r="AA6" s="82">
        <v>6</v>
      </c>
      <c r="AB6" s="82"/>
      <c r="AC6" s="98"/>
      <c r="AD6" s="85" t="s">
        <v>282</v>
      </c>
      <c r="AE6" s="85">
        <v>1126</v>
      </c>
      <c r="AF6" s="85">
        <v>21498</v>
      </c>
      <c r="AG6" s="85">
        <v>8261</v>
      </c>
      <c r="AH6" s="85">
        <v>890</v>
      </c>
      <c r="AI6" s="85"/>
      <c r="AJ6" s="85" t="s">
        <v>295</v>
      </c>
      <c r="AK6" s="85" t="s">
        <v>306</v>
      </c>
      <c r="AL6" s="89" t="s">
        <v>313</v>
      </c>
      <c r="AM6" s="85"/>
      <c r="AN6" s="87">
        <v>40107.9471412037</v>
      </c>
      <c r="AO6" s="89" t="s">
        <v>325</v>
      </c>
      <c r="AP6" s="85" t="b">
        <v>0</v>
      </c>
      <c r="AQ6" s="85" t="b">
        <v>0</v>
      </c>
      <c r="AR6" s="85" t="b">
        <v>0</v>
      </c>
      <c r="AS6" s="85" t="s">
        <v>247</v>
      </c>
      <c r="AT6" s="85">
        <v>349</v>
      </c>
      <c r="AU6" s="89" t="s">
        <v>335</v>
      </c>
      <c r="AV6" s="85" t="b">
        <v>1</v>
      </c>
      <c r="AW6" s="85" t="s">
        <v>351</v>
      </c>
      <c r="AX6" s="89" t="s">
        <v>355</v>
      </c>
      <c r="AY6" s="85" t="s">
        <v>65</v>
      </c>
      <c r="AZ6" s="85" t="str">
        <f>REPLACE(INDEX(GroupVertices[Group],MATCH(Vertices[[#This Row],[Vertex]],GroupVertices[Vertex],0)),1,1,"")</f>
        <v>2</v>
      </c>
      <c r="BA6" s="51"/>
      <c r="BB6" s="51"/>
      <c r="BC6" s="51"/>
      <c r="BD6" s="51"/>
      <c r="BE6" s="51"/>
      <c r="BF6" s="51"/>
      <c r="BG6" s="51"/>
      <c r="BH6" s="51"/>
      <c r="BI6" s="51"/>
      <c r="BJ6" s="51"/>
      <c r="BK6" s="51"/>
      <c r="BL6" s="52"/>
      <c r="BM6" s="51"/>
      <c r="BN6" s="52"/>
      <c r="BO6" s="51"/>
      <c r="BP6" s="52"/>
      <c r="BQ6" s="51"/>
      <c r="BR6" s="52"/>
      <c r="BS6" s="51"/>
      <c r="BT6" s="2"/>
      <c r="BU6" s="3"/>
      <c r="BV6" s="3"/>
      <c r="BW6" s="3"/>
      <c r="BX6" s="3"/>
    </row>
    <row r="7" spans="1:76" ht="15">
      <c r="A7" s="14" t="s">
        <v>217</v>
      </c>
      <c r="B7" s="15"/>
      <c r="C7" s="15" t="s">
        <v>64</v>
      </c>
      <c r="D7" s="93">
        <v>419.482289853709</v>
      </c>
      <c r="E7" s="81"/>
      <c r="F7" s="112" t="s">
        <v>343</v>
      </c>
      <c r="G7" s="15"/>
      <c r="H7" s="16" t="s">
        <v>217</v>
      </c>
      <c r="I7" s="66"/>
      <c r="J7" s="66"/>
      <c r="K7" s="114" t="s">
        <v>369</v>
      </c>
      <c r="L7" s="94">
        <v>1</v>
      </c>
      <c r="M7" s="95">
        <v>4716.876953125</v>
      </c>
      <c r="N7" s="95">
        <v>7492.3544921875</v>
      </c>
      <c r="O7" s="77"/>
      <c r="P7" s="96"/>
      <c r="Q7" s="96"/>
      <c r="R7" s="97"/>
      <c r="S7" s="51">
        <v>1</v>
      </c>
      <c r="T7" s="51">
        <v>0</v>
      </c>
      <c r="U7" s="52">
        <v>0</v>
      </c>
      <c r="V7" s="52">
        <v>0.052632</v>
      </c>
      <c r="W7" s="52">
        <v>0.049307</v>
      </c>
      <c r="X7" s="52">
        <v>0.449407</v>
      </c>
      <c r="Y7" s="52">
        <v>0</v>
      </c>
      <c r="Z7" s="52">
        <v>0</v>
      </c>
      <c r="AA7" s="82">
        <v>7</v>
      </c>
      <c r="AB7" s="82"/>
      <c r="AC7" s="98"/>
      <c r="AD7" s="85" t="s">
        <v>283</v>
      </c>
      <c r="AE7" s="85">
        <v>136</v>
      </c>
      <c r="AF7" s="85">
        <v>6771</v>
      </c>
      <c r="AG7" s="85">
        <v>4123</v>
      </c>
      <c r="AH7" s="85">
        <v>1829</v>
      </c>
      <c r="AI7" s="85">
        <v>-18000</v>
      </c>
      <c r="AJ7" s="85" t="s">
        <v>296</v>
      </c>
      <c r="AK7" s="85" t="s">
        <v>307</v>
      </c>
      <c r="AL7" s="89" t="s">
        <v>314</v>
      </c>
      <c r="AM7" s="85" t="s">
        <v>322</v>
      </c>
      <c r="AN7" s="87">
        <v>40619.82295138889</v>
      </c>
      <c r="AO7" s="89" t="s">
        <v>326</v>
      </c>
      <c r="AP7" s="85" t="b">
        <v>0</v>
      </c>
      <c r="AQ7" s="85" t="b">
        <v>0</v>
      </c>
      <c r="AR7" s="85" t="b">
        <v>1</v>
      </c>
      <c r="AS7" s="85" t="s">
        <v>247</v>
      </c>
      <c r="AT7" s="85">
        <v>125</v>
      </c>
      <c r="AU7" s="89" t="s">
        <v>338</v>
      </c>
      <c r="AV7" s="85" t="b">
        <v>1</v>
      </c>
      <c r="AW7" s="85" t="s">
        <v>351</v>
      </c>
      <c r="AX7" s="89" t="s">
        <v>356</v>
      </c>
      <c r="AY7" s="85" t="s">
        <v>65</v>
      </c>
      <c r="AZ7" s="85" t="str">
        <f>REPLACE(INDEX(GroupVertices[Group],MATCH(Vertices[[#This Row],[Vertex]],GroupVertices[Vertex],0)),1,1,"")</f>
        <v>2</v>
      </c>
      <c r="BA7" s="51"/>
      <c r="BB7" s="51"/>
      <c r="BC7" s="51"/>
      <c r="BD7" s="51"/>
      <c r="BE7" s="51"/>
      <c r="BF7" s="51"/>
      <c r="BG7" s="51"/>
      <c r="BH7" s="51"/>
      <c r="BI7" s="51"/>
      <c r="BJ7" s="51"/>
      <c r="BK7" s="51"/>
      <c r="BL7" s="52"/>
      <c r="BM7" s="51"/>
      <c r="BN7" s="52"/>
      <c r="BO7" s="51"/>
      <c r="BP7" s="52"/>
      <c r="BQ7" s="51"/>
      <c r="BR7" s="52"/>
      <c r="BS7" s="51"/>
      <c r="BT7" s="2"/>
      <c r="BU7" s="3"/>
      <c r="BV7" s="3"/>
      <c r="BW7" s="3"/>
      <c r="BX7" s="3"/>
    </row>
    <row r="8" spans="1:76" ht="15">
      <c r="A8" s="14" t="s">
        <v>218</v>
      </c>
      <c r="B8" s="15"/>
      <c r="C8" s="15" t="s">
        <v>64</v>
      </c>
      <c r="D8" s="93">
        <v>1000</v>
      </c>
      <c r="E8" s="81"/>
      <c r="F8" s="112" t="s">
        <v>344</v>
      </c>
      <c r="G8" s="15"/>
      <c r="H8" s="16" t="s">
        <v>218</v>
      </c>
      <c r="I8" s="66"/>
      <c r="J8" s="66"/>
      <c r="K8" s="114" t="s">
        <v>370</v>
      </c>
      <c r="L8" s="94">
        <v>1</v>
      </c>
      <c r="M8" s="95">
        <v>6392.05322265625</v>
      </c>
      <c r="N8" s="95">
        <v>3105.57177734375</v>
      </c>
      <c r="O8" s="77"/>
      <c r="P8" s="96"/>
      <c r="Q8" s="96"/>
      <c r="R8" s="97"/>
      <c r="S8" s="51">
        <v>1</v>
      </c>
      <c r="T8" s="51">
        <v>0</v>
      </c>
      <c r="U8" s="52">
        <v>0</v>
      </c>
      <c r="V8" s="52">
        <v>0.052632</v>
      </c>
      <c r="W8" s="52">
        <v>0.049307</v>
      </c>
      <c r="X8" s="52">
        <v>0.449407</v>
      </c>
      <c r="Y8" s="52">
        <v>0</v>
      </c>
      <c r="Z8" s="52">
        <v>0</v>
      </c>
      <c r="AA8" s="82">
        <v>8</v>
      </c>
      <c r="AB8" s="82"/>
      <c r="AC8" s="98"/>
      <c r="AD8" s="85" t="s">
        <v>284</v>
      </c>
      <c r="AE8" s="85">
        <v>261</v>
      </c>
      <c r="AF8" s="85">
        <v>93786</v>
      </c>
      <c r="AG8" s="85">
        <v>3665</v>
      </c>
      <c r="AH8" s="85">
        <v>2358</v>
      </c>
      <c r="AI8" s="85"/>
      <c r="AJ8" s="85" t="s">
        <v>297</v>
      </c>
      <c r="AK8" s="85"/>
      <c r="AL8" s="89" t="s">
        <v>315</v>
      </c>
      <c r="AM8" s="85"/>
      <c r="AN8" s="87">
        <v>39841.24650462963</v>
      </c>
      <c r="AO8" s="89" t="s">
        <v>327</v>
      </c>
      <c r="AP8" s="85" t="b">
        <v>0</v>
      </c>
      <c r="AQ8" s="85" t="b">
        <v>0</v>
      </c>
      <c r="AR8" s="85" t="b">
        <v>1</v>
      </c>
      <c r="AS8" s="85" t="s">
        <v>247</v>
      </c>
      <c r="AT8" s="85">
        <v>576</v>
      </c>
      <c r="AU8" s="89" t="s">
        <v>335</v>
      </c>
      <c r="AV8" s="85" t="b">
        <v>1</v>
      </c>
      <c r="AW8" s="85" t="s">
        <v>351</v>
      </c>
      <c r="AX8" s="89" t="s">
        <v>357</v>
      </c>
      <c r="AY8" s="85" t="s">
        <v>65</v>
      </c>
      <c r="AZ8" s="85" t="str">
        <f>REPLACE(INDEX(GroupVertices[Group],MATCH(Vertices[[#This Row],[Vertex]],GroupVertices[Vertex],0)),1,1,"")</f>
        <v>2</v>
      </c>
      <c r="BA8" s="51"/>
      <c r="BB8" s="51"/>
      <c r="BC8" s="51"/>
      <c r="BD8" s="51"/>
      <c r="BE8" s="51"/>
      <c r="BF8" s="51"/>
      <c r="BG8" s="51"/>
      <c r="BH8" s="51"/>
      <c r="BI8" s="51"/>
      <c r="BJ8" s="51"/>
      <c r="BK8" s="51"/>
      <c r="BL8" s="52"/>
      <c r="BM8" s="51"/>
      <c r="BN8" s="52"/>
      <c r="BO8" s="51"/>
      <c r="BP8" s="52"/>
      <c r="BQ8" s="51"/>
      <c r="BR8" s="52"/>
      <c r="BS8" s="51"/>
      <c r="BT8" s="2"/>
      <c r="BU8" s="3"/>
      <c r="BV8" s="3"/>
      <c r="BW8" s="3"/>
      <c r="BX8" s="3"/>
    </row>
    <row r="9" spans="1:76" ht="15">
      <c r="A9" s="14" t="s">
        <v>219</v>
      </c>
      <c r="B9" s="15"/>
      <c r="C9" s="15" t="s">
        <v>64</v>
      </c>
      <c r="D9" s="93">
        <v>404.38496636718565</v>
      </c>
      <c r="E9" s="81"/>
      <c r="F9" s="112" t="s">
        <v>345</v>
      </c>
      <c r="G9" s="15"/>
      <c r="H9" s="16" t="s">
        <v>219</v>
      </c>
      <c r="I9" s="66"/>
      <c r="J9" s="66"/>
      <c r="K9" s="114" t="s">
        <v>371</v>
      </c>
      <c r="L9" s="94">
        <v>1</v>
      </c>
      <c r="M9" s="95">
        <v>9677.39453125</v>
      </c>
      <c r="N9" s="95">
        <v>5259.31103515625</v>
      </c>
      <c r="O9" s="77"/>
      <c r="P9" s="96"/>
      <c r="Q9" s="96"/>
      <c r="R9" s="97"/>
      <c r="S9" s="51">
        <v>1</v>
      </c>
      <c r="T9" s="51">
        <v>0</v>
      </c>
      <c r="U9" s="52">
        <v>0</v>
      </c>
      <c r="V9" s="52">
        <v>0.052632</v>
      </c>
      <c r="W9" s="52">
        <v>0.049307</v>
      </c>
      <c r="X9" s="52">
        <v>0.449407</v>
      </c>
      <c r="Y9" s="52">
        <v>0</v>
      </c>
      <c r="Z9" s="52">
        <v>0</v>
      </c>
      <c r="AA9" s="82">
        <v>9</v>
      </c>
      <c r="AB9" s="82"/>
      <c r="AC9" s="98"/>
      <c r="AD9" s="85" t="s">
        <v>285</v>
      </c>
      <c r="AE9" s="85">
        <v>1582</v>
      </c>
      <c r="AF9" s="85">
        <v>6388</v>
      </c>
      <c r="AG9" s="85">
        <v>9583</v>
      </c>
      <c r="AH9" s="85">
        <v>4821</v>
      </c>
      <c r="AI9" s="85"/>
      <c r="AJ9" s="85" t="s">
        <v>298</v>
      </c>
      <c r="AK9" s="85" t="s">
        <v>308</v>
      </c>
      <c r="AL9" s="89" t="s">
        <v>316</v>
      </c>
      <c r="AM9" s="85"/>
      <c r="AN9" s="87">
        <v>40030.62335648148</v>
      </c>
      <c r="AO9" s="89" t="s">
        <v>328</v>
      </c>
      <c r="AP9" s="85" t="b">
        <v>0</v>
      </c>
      <c r="AQ9" s="85" t="b">
        <v>0</v>
      </c>
      <c r="AR9" s="85" t="b">
        <v>1</v>
      </c>
      <c r="AS9" s="85" t="s">
        <v>247</v>
      </c>
      <c r="AT9" s="85">
        <v>156</v>
      </c>
      <c r="AU9" s="89" t="s">
        <v>339</v>
      </c>
      <c r="AV9" s="85" t="b">
        <v>1</v>
      </c>
      <c r="AW9" s="85" t="s">
        <v>351</v>
      </c>
      <c r="AX9" s="89" t="s">
        <v>358</v>
      </c>
      <c r="AY9" s="85" t="s">
        <v>65</v>
      </c>
      <c r="AZ9" s="85" t="str">
        <f>REPLACE(INDEX(GroupVertices[Group],MATCH(Vertices[[#This Row],[Vertex]],GroupVertices[Vertex],0)),1,1,"")</f>
        <v>2</v>
      </c>
      <c r="BA9" s="51"/>
      <c r="BB9" s="51"/>
      <c r="BC9" s="51"/>
      <c r="BD9" s="51"/>
      <c r="BE9" s="51"/>
      <c r="BF9" s="51"/>
      <c r="BG9" s="51"/>
      <c r="BH9" s="51"/>
      <c r="BI9" s="51"/>
      <c r="BJ9" s="51"/>
      <c r="BK9" s="51"/>
      <c r="BL9" s="52"/>
      <c r="BM9" s="51"/>
      <c r="BN9" s="52"/>
      <c r="BO9" s="51"/>
      <c r="BP9" s="52"/>
      <c r="BQ9" s="51"/>
      <c r="BR9" s="52"/>
      <c r="BS9" s="51"/>
      <c r="BT9" s="2"/>
      <c r="BU9" s="3"/>
      <c r="BV9" s="3"/>
      <c r="BW9" s="3"/>
      <c r="BX9" s="3"/>
    </row>
    <row r="10" spans="1:76" ht="15">
      <c r="A10" s="14" t="s">
        <v>220</v>
      </c>
      <c r="B10" s="15"/>
      <c r="C10" s="15" t="s">
        <v>64</v>
      </c>
      <c r="D10" s="93">
        <v>257.70835881273814</v>
      </c>
      <c r="E10" s="81"/>
      <c r="F10" s="112" t="s">
        <v>346</v>
      </c>
      <c r="G10" s="15"/>
      <c r="H10" s="16" t="s">
        <v>220</v>
      </c>
      <c r="I10" s="66"/>
      <c r="J10" s="66"/>
      <c r="K10" s="114" t="s">
        <v>372</v>
      </c>
      <c r="L10" s="94">
        <v>1</v>
      </c>
      <c r="M10" s="95">
        <v>276.7754211425781</v>
      </c>
      <c r="N10" s="95">
        <v>7605.38427734375</v>
      </c>
      <c r="O10" s="77"/>
      <c r="P10" s="96"/>
      <c r="Q10" s="96"/>
      <c r="R10" s="97"/>
      <c r="S10" s="51">
        <v>2</v>
      </c>
      <c r="T10" s="51">
        <v>0</v>
      </c>
      <c r="U10" s="52">
        <v>0</v>
      </c>
      <c r="V10" s="52">
        <v>0.055556</v>
      </c>
      <c r="W10" s="52">
        <v>0.088889</v>
      </c>
      <c r="X10" s="52">
        <v>0.734048</v>
      </c>
      <c r="Y10" s="52">
        <v>1</v>
      </c>
      <c r="Z10" s="52">
        <v>0</v>
      </c>
      <c r="AA10" s="82">
        <v>10</v>
      </c>
      <c r="AB10" s="82"/>
      <c r="AC10" s="98"/>
      <c r="AD10" s="85" t="s">
        <v>286</v>
      </c>
      <c r="AE10" s="85">
        <v>1262</v>
      </c>
      <c r="AF10" s="85">
        <v>2667</v>
      </c>
      <c r="AG10" s="85">
        <v>4798</v>
      </c>
      <c r="AH10" s="85">
        <v>2980</v>
      </c>
      <c r="AI10" s="85"/>
      <c r="AJ10" s="85" t="s">
        <v>299</v>
      </c>
      <c r="AK10" s="85" t="s">
        <v>309</v>
      </c>
      <c r="AL10" s="89" t="s">
        <v>317</v>
      </c>
      <c r="AM10" s="85"/>
      <c r="AN10" s="87">
        <v>40130.79300925926</v>
      </c>
      <c r="AO10" s="89" t="s">
        <v>329</v>
      </c>
      <c r="AP10" s="85" t="b">
        <v>0</v>
      </c>
      <c r="AQ10" s="85" t="b">
        <v>0</v>
      </c>
      <c r="AR10" s="85" t="b">
        <v>1</v>
      </c>
      <c r="AS10" s="85" t="s">
        <v>247</v>
      </c>
      <c r="AT10" s="85">
        <v>59</v>
      </c>
      <c r="AU10" s="89" t="s">
        <v>335</v>
      </c>
      <c r="AV10" s="85" t="b">
        <v>0</v>
      </c>
      <c r="AW10" s="85" t="s">
        <v>351</v>
      </c>
      <c r="AX10" s="89" t="s">
        <v>359</v>
      </c>
      <c r="AY10" s="85" t="s">
        <v>65</v>
      </c>
      <c r="AZ10" s="85" t="str">
        <f>REPLACE(INDEX(GroupVertices[Group],MATCH(Vertices[[#This Row],[Vertex]],GroupVertices[Vertex],0)),1,1,"")</f>
        <v>1</v>
      </c>
      <c r="BA10" s="51"/>
      <c r="BB10" s="51"/>
      <c r="BC10" s="51"/>
      <c r="BD10" s="51"/>
      <c r="BE10" s="51"/>
      <c r="BF10" s="51"/>
      <c r="BG10" s="51"/>
      <c r="BH10" s="51"/>
      <c r="BI10" s="51"/>
      <c r="BJ10" s="51"/>
      <c r="BK10" s="51"/>
      <c r="BL10" s="52"/>
      <c r="BM10" s="51"/>
      <c r="BN10" s="52"/>
      <c r="BO10" s="51"/>
      <c r="BP10" s="52"/>
      <c r="BQ10" s="51"/>
      <c r="BR10" s="52"/>
      <c r="BS10" s="51"/>
      <c r="BT10" s="2"/>
      <c r="BU10" s="3"/>
      <c r="BV10" s="3"/>
      <c r="BW10" s="3"/>
      <c r="BX10" s="3"/>
    </row>
    <row r="11" spans="1:76" ht="15">
      <c r="A11" s="14" t="s">
        <v>214</v>
      </c>
      <c r="B11" s="15"/>
      <c r="C11" s="15" t="s">
        <v>64</v>
      </c>
      <c r="D11" s="93">
        <v>203.90197092995908</v>
      </c>
      <c r="E11" s="81"/>
      <c r="F11" s="112" t="s">
        <v>237</v>
      </c>
      <c r="G11" s="15"/>
      <c r="H11" s="16" t="s">
        <v>214</v>
      </c>
      <c r="I11" s="66"/>
      <c r="J11" s="66"/>
      <c r="K11" s="114" t="s">
        <v>373</v>
      </c>
      <c r="L11" s="94">
        <v>1429.2857142857142</v>
      </c>
      <c r="M11" s="95">
        <v>2167.263916015625</v>
      </c>
      <c r="N11" s="95">
        <v>4925.97607421875</v>
      </c>
      <c r="O11" s="77"/>
      <c r="P11" s="96"/>
      <c r="Q11" s="96"/>
      <c r="R11" s="97"/>
      <c r="S11" s="51">
        <v>1</v>
      </c>
      <c r="T11" s="51">
        <v>6</v>
      </c>
      <c r="U11" s="52">
        <v>10</v>
      </c>
      <c r="V11" s="52">
        <v>0.071429</v>
      </c>
      <c r="W11" s="52">
        <v>0.159561</v>
      </c>
      <c r="X11" s="52">
        <v>2.009248</v>
      </c>
      <c r="Y11" s="52">
        <v>0.16666666666666666</v>
      </c>
      <c r="Z11" s="52">
        <v>0.16666666666666666</v>
      </c>
      <c r="AA11" s="82">
        <v>11</v>
      </c>
      <c r="AB11" s="82"/>
      <c r="AC11" s="98"/>
      <c r="AD11" s="85" t="s">
        <v>287</v>
      </c>
      <c r="AE11" s="85">
        <v>1529</v>
      </c>
      <c r="AF11" s="85">
        <v>1302</v>
      </c>
      <c r="AG11" s="85">
        <v>3024</v>
      </c>
      <c r="AH11" s="85">
        <v>2057</v>
      </c>
      <c r="AI11" s="85"/>
      <c r="AJ11" s="85" t="s">
        <v>300</v>
      </c>
      <c r="AK11" s="85" t="s">
        <v>307</v>
      </c>
      <c r="AL11" s="89" t="s">
        <v>318</v>
      </c>
      <c r="AM11" s="85"/>
      <c r="AN11" s="87">
        <v>41806.92334490741</v>
      </c>
      <c r="AO11" s="89" t="s">
        <v>330</v>
      </c>
      <c r="AP11" s="85" t="b">
        <v>0</v>
      </c>
      <c r="AQ11" s="85" t="b">
        <v>0</v>
      </c>
      <c r="AR11" s="85" t="b">
        <v>1</v>
      </c>
      <c r="AS11" s="85" t="s">
        <v>247</v>
      </c>
      <c r="AT11" s="85">
        <v>32</v>
      </c>
      <c r="AU11" s="89" t="s">
        <v>335</v>
      </c>
      <c r="AV11" s="85" t="b">
        <v>0</v>
      </c>
      <c r="AW11" s="85" t="s">
        <v>351</v>
      </c>
      <c r="AX11" s="89" t="s">
        <v>360</v>
      </c>
      <c r="AY11" s="85" t="s">
        <v>66</v>
      </c>
      <c r="AZ11" s="85" t="str">
        <f>REPLACE(INDEX(GroupVertices[Group],MATCH(Vertices[[#This Row],[Vertex]],GroupVertices[Vertex],0)),1,1,"")</f>
        <v>1</v>
      </c>
      <c r="BA11" s="51"/>
      <c r="BB11" s="51"/>
      <c r="BC11" s="51"/>
      <c r="BD11" s="51"/>
      <c r="BE11" s="51"/>
      <c r="BF11" s="51"/>
      <c r="BG11" s="131" t="s">
        <v>513</v>
      </c>
      <c r="BH11" s="131" t="s">
        <v>513</v>
      </c>
      <c r="BI11" s="131" t="s">
        <v>519</v>
      </c>
      <c r="BJ11" s="131" t="s">
        <v>519</v>
      </c>
      <c r="BK11" s="131">
        <v>1</v>
      </c>
      <c r="BL11" s="134">
        <v>6.25</v>
      </c>
      <c r="BM11" s="131">
        <v>0</v>
      </c>
      <c r="BN11" s="134">
        <v>0</v>
      </c>
      <c r="BO11" s="131">
        <v>0</v>
      </c>
      <c r="BP11" s="134">
        <v>0</v>
      </c>
      <c r="BQ11" s="131">
        <v>15</v>
      </c>
      <c r="BR11" s="134">
        <v>93.75</v>
      </c>
      <c r="BS11" s="131">
        <v>16</v>
      </c>
      <c r="BT11" s="2"/>
      <c r="BU11" s="3"/>
      <c r="BV11" s="3"/>
      <c r="BW11" s="3"/>
      <c r="BX11" s="3"/>
    </row>
    <row r="12" spans="1:76" ht="15">
      <c r="A12" s="14" t="s">
        <v>221</v>
      </c>
      <c r="B12" s="15"/>
      <c r="C12" s="15" t="s">
        <v>64</v>
      </c>
      <c r="D12" s="93">
        <v>220.6548755821064</v>
      </c>
      <c r="E12" s="81"/>
      <c r="F12" s="112" t="s">
        <v>347</v>
      </c>
      <c r="G12" s="15"/>
      <c r="H12" s="16" t="s">
        <v>221</v>
      </c>
      <c r="I12" s="66"/>
      <c r="J12" s="66"/>
      <c r="K12" s="114" t="s">
        <v>374</v>
      </c>
      <c r="L12" s="94">
        <v>1</v>
      </c>
      <c r="M12" s="95">
        <v>2785.90380859375</v>
      </c>
      <c r="N12" s="95">
        <v>9522.2236328125</v>
      </c>
      <c r="O12" s="77"/>
      <c r="P12" s="96"/>
      <c r="Q12" s="96"/>
      <c r="R12" s="97"/>
      <c r="S12" s="51">
        <v>2</v>
      </c>
      <c r="T12" s="51">
        <v>0</v>
      </c>
      <c r="U12" s="52">
        <v>0</v>
      </c>
      <c r="V12" s="52">
        <v>0.055556</v>
      </c>
      <c r="W12" s="52">
        <v>0.088889</v>
      </c>
      <c r="X12" s="52">
        <v>0.734048</v>
      </c>
      <c r="Y12" s="52">
        <v>1</v>
      </c>
      <c r="Z12" s="52">
        <v>0</v>
      </c>
      <c r="AA12" s="82">
        <v>12</v>
      </c>
      <c r="AB12" s="82"/>
      <c r="AC12" s="98"/>
      <c r="AD12" s="85" t="s">
        <v>288</v>
      </c>
      <c r="AE12" s="85">
        <v>1996</v>
      </c>
      <c r="AF12" s="85">
        <v>1727</v>
      </c>
      <c r="AG12" s="85">
        <v>2805</v>
      </c>
      <c r="AH12" s="85">
        <v>919</v>
      </c>
      <c r="AI12" s="85">
        <v>-14400</v>
      </c>
      <c r="AJ12" s="85" t="s">
        <v>301</v>
      </c>
      <c r="AK12" s="85" t="s">
        <v>305</v>
      </c>
      <c r="AL12" s="89" t="s">
        <v>319</v>
      </c>
      <c r="AM12" s="85" t="s">
        <v>322</v>
      </c>
      <c r="AN12" s="87">
        <v>40403.78189814815</v>
      </c>
      <c r="AO12" s="89" t="s">
        <v>331</v>
      </c>
      <c r="AP12" s="85" t="b">
        <v>0</v>
      </c>
      <c r="AQ12" s="85" t="b">
        <v>0</v>
      </c>
      <c r="AR12" s="85" t="b">
        <v>1</v>
      </c>
      <c r="AS12" s="85" t="s">
        <v>247</v>
      </c>
      <c r="AT12" s="85">
        <v>39</v>
      </c>
      <c r="AU12" s="89" t="s">
        <v>340</v>
      </c>
      <c r="AV12" s="85" t="b">
        <v>0</v>
      </c>
      <c r="AW12" s="85" t="s">
        <v>351</v>
      </c>
      <c r="AX12" s="89" t="s">
        <v>361</v>
      </c>
      <c r="AY12" s="85" t="s">
        <v>65</v>
      </c>
      <c r="AZ12" s="85" t="str">
        <f>REPLACE(INDEX(GroupVertices[Group],MATCH(Vertices[[#This Row],[Vertex]],GroupVertices[Vertex],0)),1,1,"")</f>
        <v>1</v>
      </c>
      <c r="BA12" s="51"/>
      <c r="BB12" s="51"/>
      <c r="BC12" s="51"/>
      <c r="BD12" s="51"/>
      <c r="BE12" s="51"/>
      <c r="BF12" s="51"/>
      <c r="BG12" s="51"/>
      <c r="BH12" s="51"/>
      <c r="BI12" s="51"/>
      <c r="BJ12" s="51"/>
      <c r="BK12" s="51"/>
      <c r="BL12" s="52"/>
      <c r="BM12" s="51"/>
      <c r="BN12" s="52"/>
      <c r="BO12" s="51"/>
      <c r="BP12" s="52"/>
      <c r="BQ12" s="51"/>
      <c r="BR12" s="52"/>
      <c r="BS12" s="51"/>
      <c r="BT12" s="2"/>
      <c r="BU12" s="3"/>
      <c r="BV12" s="3"/>
      <c r="BW12" s="3"/>
      <c r="BX12" s="3"/>
    </row>
    <row r="13" spans="1:76" ht="15">
      <c r="A13" s="14" t="s">
        <v>222</v>
      </c>
      <c r="B13" s="15"/>
      <c r="C13" s="15" t="s">
        <v>64</v>
      </c>
      <c r="D13" s="93">
        <v>189.47476362952162</v>
      </c>
      <c r="E13" s="81"/>
      <c r="F13" s="112" t="s">
        <v>348</v>
      </c>
      <c r="G13" s="15"/>
      <c r="H13" s="16" t="s">
        <v>222</v>
      </c>
      <c r="I13" s="66"/>
      <c r="J13" s="66"/>
      <c r="K13" s="114" t="s">
        <v>375</v>
      </c>
      <c r="L13" s="94">
        <v>1</v>
      </c>
      <c r="M13" s="95">
        <v>4521.96484375</v>
      </c>
      <c r="N13" s="95">
        <v>5163.8076171875</v>
      </c>
      <c r="O13" s="77"/>
      <c r="P13" s="96"/>
      <c r="Q13" s="96"/>
      <c r="R13" s="97"/>
      <c r="S13" s="51">
        <v>2</v>
      </c>
      <c r="T13" s="51">
        <v>0</v>
      </c>
      <c r="U13" s="52">
        <v>0</v>
      </c>
      <c r="V13" s="52">
        <v>0.055556</v>
      </c>
      <c r="W13" s="52">
        <v>0.088889</v>
      </c>
      <c r="X13" s="52">
        <v>0.734048</v>
      </c>
      <c r="Y13" s="52">
        <v>1</v>
      </c>
      <c r="Z13" s="52">
        <v>0</v>
      </c>
      <c r="AA13" s="82">
        <v>13</v>
      </c>
      <c r="AB13" s="82"/>
      <c r="AC13" s="98"/>
      <c r="AD13" s="85" t="s">
        <v>289</v>
      </c>
      <c r="AE13" s="85">
        <v>572</v>
      </c>
      <c r="AF13" s="85">
        <v>936</v>
      </c>
      <c r="AG13" s="85">
        <v>511</v>
      </c>
      <c r="AH13" s="85">
        <v>879</v>
      </c>
      <c r="AI13" s="85"/>
      <c r="AJ13" s="85" t="s">
        <v>302</v>
      </c>
      <c r="AK13" s="85" t="s">
        <v>307</v>
      </c>
      <c r="AL13" s="89" t="s">
        <v>320</v>
      </c>
      <c r="AM13" s="85"/>
      <c r="AN13" s="87">
        <v>42752.806296296294</v>
      </c>
      <c r="AO13" s="89" t="s">
        <v>332</v>
      </c>
      <c r="AP13" s="85" t="b">
        <v>0</v>
      </c>
      <c r="AQ13" s="85" t="b">
        <v>0</v>
      </c>
      <c r="AR13" s="85" t="b">
        <v>1</v>
      </c>
      <c r="AS13" s="85" t="s">
        <v>247</v>
      </c>
      <c r="AT13" s="85">
        <v>9</v>
      </c>
      <c r="AU13" s="89" t="s">
        <v>335</v>
      </c>
      <c r="AV13" s="85" t="b">
        <v>0</v>
      </c>
      <c r="AW13" s="85" t="s">
        <v>351</v>
      </c>
      <c r="AX13" s="89" t="s">
        <v>362</v>
      </c>
      <c r="AY13" s="85" t="s">
        <v>65</v>
      </c>
      <c r="AZ13" s="85" t="str">
        <f>REPLACE(INDEX(GroupVertices[Group],MATCH(Vertices[[#This Row],[Vertex]],GroupVertices[Vertex],0)),1,1,"")</f>
        <v>1</v>
      </c>
      <c r="BA13" s="51"/>
      <c r="BB13" s="51"/>
      <c r="BC13" s="51"/>
      <c r="BD13" s="51"/>
      <c r="BE13" s="51"/>
      <c r="BF13" s="51"/>
      <c r="BG13" s="51"/>
      <c r="BH13" s="51"/>
      <c r="BI13" s="51"/>
      <c r="BJ13" s="51"/>
      <c r="BK13" s="51"/>
      <c r="BL13" s="52"/>
      <c r="BM13" s="51"/>
      <c r="BN13" s="52"/>
      <c r="BO13" s="51"/>
      <c r="BP13" s="52"/>
      <c r="BQ13" s="51"/>
      <c r="BR13" s="52"/>
      <c r="BS13" s="51"/>
      <c r="BT13" s="2"/>
      <c r="BU13" s="3"/>
      <c r="BV13" s="3"/>
      <c r="BW13" s="3"/>
      <c r="BX13" s="3"/>
    </row>
    <row r="14" spans="1:76" ht="15">
      <c r="A14" s="14" t="s">
        <v>223</v>
      </c>
      <c r="B14" s="15"/>
      <c r="C14" s="15" t="s">
        <v>64</v>
      </c>
      <c r="D14" s="93">
        <v>924.5133825673832</v>
      </c>
      <c r="E14" s="81"/>
      <c r="F14" s="112" t="s">
        <v>349</v>
      </c>
      <c r="G14" s="15"/>
      <c r="H14" s="16" t="s">
        <v>223</v>
      </c>
      <c r="I14" s="66"/>
      <c r="J14" s="66"/>
      <c r="K14" s="114" t="s">
        <v>376</v>
      </c>
      <c r="L14" s="94">
        <v>1</v>
      </c>
      <c r="M14" s="95">
        <v>438.1628112792969</v>
      </c>
      <c r="N14" s="95">
        <v>1861.791015625</v>
      </c>
      <c r="O14" s="77"/>
      <c r="P14" s="96"/>
      <c r="Q14" s="96"/>
      <c r="R14" s="97"/>
      <c r="S14" s="51">
        <v>2</v>
      </c>
      <c r="T14" s="51">
        <v>0</v>
      </c>
      <c r="U14" s="52">
        <v>0</v>
      </c>
      <c r="V14" s="52">
        <v>0.055556</v>
      </c>
      <c r="W14" s="52">
        <v>0.088889</v>
      </c>
      <c r="X14" s="52">
        <v>0.734048</v>
      </c>
      <c r="Y14" s="52">
        <v>1</v>
      </c>
      <c r="Z14" s="52">
        <v>0</v>
      </c>
      <c r="AA14" s="82">
        <v>14</v>
      </c>
      <c r="AB14" s="82"/>
      <c r="AC14" s="98"/>
      <c r="AD14" s="85" t="s">
        <v>290</v>
      </c>
      <c r="AE14" s="85">
        <v>16141</v>
      </c>
      <c r="AF14" s="85">
        <v>19583</v>
      </c>
      <c r="AG14" s="85">
        <v>19336</v>
      </c>
      <c r="AH14" s="85">
        <v>13884</v>
      </c>
      <c r="AI14" s="85"/>
      <c r="AJ14" s="85" t="s">
        <v>303</v>
      </c>
      <c r="AK14" s="85" t="s">
        <v>307</v>
      </c>
      <c r="AL14" s="89" t="s">
        <v>320</v>
      </c>
      <c r="AM14" s="85"/>
      <c r="AN14" s="87">
        <v>39738.722592592596</v>
      </c>
      <c r="AO14" s="89" t="s">
        <v>333</v>
      </c>
      <c r="AP14" s="85" t="b">
        <v>0</v>
      </c>
      <c r="AQ14" s="85" t="b">
        <v>0</v>
      </c>
      <c r="AR14" s="85" t="b">
        <v>1</v>
      </c>
      <c r="AS14" s="85" t="s">
        <v>247</v>
      </c>
      <c r="AT14" s="85">
        <v>341</v>
      </c>
      <c r="AU14" s="89" t="s">
        <v>337</v>
      </c>
      <c r="AV14" s="85" t="b">
        <v>0</v>
      </c>
      <c r="AW14" s="85" t="s">
        <v>351</v>
      </c>
      <c r="AX14" s="89" t="s">
        <v>363</v>
      </c>
      <c r="AY14" s="85" t="s">
        <v>65</v>
      </c>
      <c r="AZ14" s="85" t="str">
        <f>REPLACE(INDEX(GroupVertices[Group],MATCH(Vertices[[#This Row],[Vertex]],GroupVertices[Vertex],0)),1,1,"")</f>
        <v>1</v>
      </c>
      <c r="BA14" s="51"/>
      <c r="BB14" s="51"/>
      <c r="BC14" s="51"/>
      <c r="BD14" s="51"/>
      <c r="BE14" s="51"/>
      <c r="BF14" s="51"/>
      <c r="BG14" s="51"/>
      <c r="BH14" s="51"/>
      <c r="BI14" s="51"/>
      <c r="BJ14" s="51"/>
      <c r="BK14" s="51"/>
      <c r="BL14" s="52"/>
      <c r="BM14" s="51"/>
      <c r="BN14" s="52"/>
      <c r="BO14" s="51"/>
      <c r="BP14" s="52"/>
      <c r="BQ14" s="51"/>
      <c r="BR14" s="52"/>
      <c r="BS14" s="51"/>
      <c r="BT14" s="2"/>
      <c r="BU14" s="3"/>
      <c r="BV14" s="3"/>
      <c r="BW14" s="3"/>
      <c r="BX14" s="3"/>
    </row>
    <row r="15" spans="1:76" ht="15">
      <c r="A15" s="99" t="s">
        <v>224</v>
      </c>
      <c r="B15" s="100"/>
      <c r="C15" s="100" t="s">
        <v>64</v>
      </c>
      <c r="D15" s="101">
        <v>231.3767345594807</v>
      </c>
      <c r="E15" s="102"/>
      <c r="F15" s="113" t="s">
        <v>350</v>
      </c>
      <c r="G15" s="100"/>
      <c r="H15" s="103" t="s">
        <v>224</v>
      </c>
      <c r="I15" s="104"/>
      <c r="J15" s="104"/>
      <c r="K15" s="115" t="s">
        <v>377</v>
      </c>
      <c r="L15" s="105">
        <v>1</v>
      </c>
      <c r="M15" s="106">
        <v>3003.960693359375</v>
      </c>
      <c r="N15" s="106">
        <v>484.8923645019531</v>
      </c>
      <c r="O15" s="107"/>
      <c r="P15" s="108"/>
      <c r="Q15" s="108"/>
      <c r="R15" s="109"/>
      <c r="S15" s="51">
        <v>2</v>
      </c>
      <c r="T15" s="51">
        <v>0</v>
      </c>
      <c r="U15" s="52">
        <v>0</v>
      </c>
      <c r="V15" s="52">
        <v>0.055556</v>
      </c>
      <c r="W15" s="52">
        <v>0.088889</v>
      </c>
      <c r="X15" s="52">
        <v>0.734048</v>
      </c>
      <c r="Y15" s="52">
        <v>1</v>
      </c>
      <c r="Z15" s="52">
        <v>0</v>
      </c>
      <c r="AA15" s="110">
        <v>15</v>
      </c>
      <c r="AB15" s="110"/>
      <c r="AC15" s="111"/>
      <c r="AD15" s="85" t="s">
        <v>291</v>
      </c>
      <c r="AE15" s="85">
        <v>881</v>
      </c>
      <c r="AF15" s="85">
        <v>1999</v>
      </c>
      <c r="AG15" s="85">
        <v>422</v>
      </c>
      <c r="AH15" s="85">
        <v>518</v>
      </c>
      <c r="AI15" s="85"/>
      <c r="AJ15" s="85" t="s">
        <v>304</v>
      </c>
      <c r="AK15" s="85" t="s">
        <v>307</v>
      </c>
      <c r="AL15" s="89" t="s">
        <v>321</v>
      </c>
      <c r="AM15" s="85"/>
      <c r="AN15" s="87">
        <v>42314.67108796296</v>
      </c>
      <c r="AO15" s="89" t="s">
        <v>334</v>
      </c>
      <c r="AP15" s="85" t="b">
        <v>0</v>
      </c>
      <c r="AQ15" s="85" t="b">
        <v>0</v>
      </c>
      <c r="AR15" s="85" t="b">
        <v>0</v>
      </c>
      <c r="AS15" s="85" t="s">
        <v>247</v>
      </c>
      <c r="AT15" s="85">
        <v>33</v>
      </c>
      <c r="AU15" s="89" t="s">
        <v>335</v>
      </c>
      <c r="AV15" s="85" t="b">
        <v>0</v>
      </c>
      <c r="AW15" s="85" t="s">
        <v>351</v>
      </c>
      <c r="AX15" s="89" t="s">
        <v>364</v>
      </c>
      <c r="AY15" s="85" t="s">
        <v>65</v>
      </c>
      <c r="AZ15" s="85" t="str">
        <f>REPLACE(INDEX(GroupVertices[Group],MATCH(Vertices[[#This Row],[Vertex]],GroupVertices[Vertex],0)),1,1,"")</f>
        <v>1</v>
      </c>
      <c r="BA15" s="51"/>
      <c r="BB15" s="51"/>
      <c r="BC15" s="51"/>
      <c r="BD15" s="51"/>
      <c r="BE15" s="51"/>
      <c r="BF15" s="51"/>
      <c r="BG15" s="51"/>
      <c r="BH15" s="51"/>
      <c r="BI15" s="51"/>
      <c r="BJ15" s="51"/>
      <c r="BK15" s="51"/>
      <c r="BL15" s="52"/>
      <c r="BM15" s="51"/>
      <c r="BN15" s="52"/>
      <c r="BO15" s="51"/>
      <c r="BP15" s="52"/>
      <c r="BQ15" s="51"/>
      <c r="BR15" s="52"/>
      <c r="BS15" s="51"/>
      <c r="BT15" s="2"/>
      <c r="BU15" s="3"/>
      <c r="BV15" s="3"/>
      <c r="BW15" s="3"/>
      <c r="BX1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
    <dataValidation allowBlank="1" showInputMessage="1" promptTitle="Vertex Tooltip" prompt="Enter optional text that will pop up when the mouse is hovered over the vertex." errorTitle="Invalid Vertex Image Key" sqref="K3:K1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
    <dataValidation allowBlank="1" showInputMessage="1" promptTitle="Vertex Label Fill Color" prompt="To select an optional fill color for the Label shape, right-click and select Select Color on the right-click menu." sqref="I3:I15"/>
    <dataValidation allowBlank="1" showInputMessage="1" promptTitle="Vertex Image File" prompt="Enter the path to an image file.  Hover over the column header for examples." errorTitle="Invalid Vertex Image Key" sqref="F3:F15"/>
    <dataValidation allowBlank="1" showInputMessage="1" promptTitle="Vertex Color" prompt="To select an optional vertex color, right-click and select Select Color on the right-click menu." sqref="B3:B15"/>
    <dataValidation allowBlank="1" showInputMessage="1" promptTitle="Vertex Opacity" prompt="Enter an optional vertex opacity between 0 (transparent) and 100 (opaque)." errorTitle="Invalid Vertex Opacity" error="The optional vertex opacity must be a whole number between 0 and 10." sqref="E3:E15"/>
    <dataValidation type="list" allowBlank="1" showInputMessage="1" showErrorMessage="1" promptTitle="Vertex Shape" prompt="Select an optional vertex shape." errorTitle="Invalid Vertex Shape" error="You have entered an invalid vertex shape.  Try selecting from the drop-down list instead." sqref="C3:C1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
      <formula1>ValidVertexLabelPositions</formula1>
    </dataValidation>
    <dataValidation allowBlank="1" showInputMessage="1" showErrorMessage="1" promptTitle="Vertex Name" prompt="Enter the name of the vertex." sqref="A3:A15"/>
  </dataValidations>
  <hyperlinks>
    <hyperlink ref="AL3" r:id="rId1" display="http://t.co/NMsofuDe8Y"/>
    <hyperlink ref="AL4" r:id="rId2" display="http://www.petermunkcardiaccentre.ca/"/>
    <hyperlink ref="AL5" r:id="rId3" display="https://t.co/DeVDxv4bWN"/>
    <hyperlink ref="AL6" r:id="rId4" display="http://t.co/wfu1c964SB"/>
    <hyperlink ref="AL7" r:id="rId5" display="http://www.harryrosen.com/"/>
    <hyperlink ref="AL8" r:id="rId6" display="https://t.co/mtVh0Gfh0s"/>
    <hyperlink ref="AL9" r:id="rId7" display="http://t.co/zY8CCmT2C5"/>
    <hyperlink ref="AL10" r:id="rId8" display="https://t.co/d4OdL5AxvD"/>
    <hyperlink ref="AL11" r:id="rId9" display="http://t.co/56HCQw1iWf"/>
    <hyperlink ref="AL12" r:id="rId10" display="http://t.co/MvUEofCbDz"/>
    <hyperlink ref="AL13" r:id="rId11" display="https://t.co/8KFC4wBUJs"/>
    <hyperlink ref="AL14" r:id="rId12" display="https://t.co/8KFC4wBUJs"/>
    <hyperlink ref="AL15" r:id="rId13" display="https://t.co/kxMiAWeFtG"/>
    <hyperlink ref="AO4" r:id="rId14" display="https://pbs.twimg.com/profile_banners/28596360/1547153042"/>
    <hyperlink ref="AO5" r:id="rId15" display="https://pbs.twimg.com/profile_banners/1898428039/1505413705"/>
    <hyperlink ref="AO6" r:id="rId16" display="https://pbs.twimg.com/profile_banners/84181532/1493677905"/>
    <hyperlink ref="AO7" r:id="rId17" display="https://pbs.twimg.com/profile_banners/267907692/1510255436"/>
    <hyperlink ref="AO8" r:id="rId18" display="https://pbs.twimg.com/profile_banners/19638600/1532352380"/>
    <hyperlink ref="AO9" r:id="rId19" display="https://pbs.twimg.com/profile_banners/63154208/1542056987"/>
    <hyperlink ref="AO10" r:id="rId20" display="https://pbs.twimg.com/profile_banners/89768177/1513713557"/>
    <hyperlink ref="AO11" r:id="rId21" display="https://pbs.twimg.com/profile_banners/2571741373/1536867398"/>
    <hyperlink ref="AO12" r:id="rId22" display="https://pbs.twimg.com/profile_banners/178047160/1515421765"/>
    <hyperlink ref="AO13" r:id="rId23" display="https://pbs.twimg.com/profile_banners/821437199040315392/1515535849"/>
    <hyperlink ref="AO14" r:id="rId24" display="https://pbs.twimg.com/profile_banners/16827492/1536611671"/>
    <hyperlink ref="AO15" r:id="rId25" display="https://pbs.twimg.com/profile_banners/4127912357/1446826636"/>
    <hyperlink ref="AU3" r:id="rId26" display="http://abs.twimg.com/images/themes/theme1/bg.png"/>
    <hyperlink ref="AU4" r:id="rId27" display="http://abs.twimg.com/images/themes/theme12/bg.gif"/>
    <hyperlink ref="AU5" r:id="rId28" display="http://abs.twimg.com/images/themes/theme9/bg.gif"/>
    <hyperlink ref="AU6" r:id="rId29" display="http://abs.twimg.com/images/themes/theme1/bg.png"/>
    <hyperlink ref="AU7" r:id="rId30" display="http://pbs.twimg.com/profile_background_images/450646761283915776/R3zit61U.jpeg"/>
    <hyperlink ref="AU8" r:id="rId31" display="http://abs.twimg.com/images/themes/theme1/bg.png"/>
    <hyperlink ref="AU9" r:id="rId32" display="http://abs.twimg.com/images/themes/theme5/bg.gif"/>
    <hyperlink ref="AU10" r:id="rId33" display="http://abs.twimg.com/images/themes/theme1/bg.png"/>
    <hyperlink ref="AU11" r:id="rId34" display="http://abs.twimg.com/images/themes/theme1/bg.png"/>
    <hyperlink ref="AU12" r:id="rId35" display="http://pbs.twimg.com/profile_background_images/514121096119873536/bCfQeLIF.jpeg"/>
    <hyperlink ref="AU13" r:id="rId36" display="http://abs.twimg.com/images/themes/theme1/bg.png"/>
    <hyperlink ref="AU14" r:id="rId37" display="http://abs.twimg.com/images/themes/theme9/bg.gif"/>
    <hyperlink ref="AU15" r:id="rId38" display="http://abs.twimg.com/images/themes/theme1/bg.png"/>
    <hyperlink ref="F3" r:id="rId39" display="http://pbs.twimg.com/profile_images/495235732819034112/3k-ynFVE_normal.png"/>
    <hyperlink ref="F4" r:id="rId40" display="http://pbs.twimg.com/profile_images/499947006115069952/EYWr3sR__normal.jpeg"/>
    <hyperlink ref="F5" r:id="rId41" display="http://pbs.twimg.com/profile_images/675080091035172864/HZ5U7SeD_normal.jpg"/>
    <hyperlink ref="F6" r:id="rId42" display="http://pbs.twimg.com/profile_images/513913798567002113/J6kLU4Tu_normal.jpeg"/>
    <hyperlink ref="F7" r:id="rId43" display="http://pbs.twimg.com/profile_images/798536109844115456/uj2Qtw4-_normal.jpg"/>
    <hyperlink ref="F8" r:id="rId44" display="http://pbs.twimg.com/profile_images/1060954815474360320/H8h8uiiF_normal.jpg"/>
    <hyperlink ref="F9" r:id="rId45" display="http://pbs.twimg.com/profile_images/725322691377418240/2JdVp3Rx_normal.jpg"/>
    <hyperlink ref="F10" r:id="rId46" display="http://pbs.twimg.com/profile_images/905527290368466944/HWv9-BVI_normal.jpg"/>
    <hyperlink ref="F11" r:id="rId47" display="http://pbs.twimg.com/profile_images/697284678760292353/bTd3nDOn_normal.png"/>
    <hyperlink ref="F12" r:id="rId48" display="http://pbs.twimg.com/profile_images/855091966866055170/MXDv4NpN_normal.jpg"/>
    <hyperlink ref="F13" r:id="rId49" display="http://pbs.twimg.com/profile_images/950846791813124096/8lzO7Gjd_normal.jpg"/>
    <hyperlink ref="F14" r:id="rId50" display="http://pbs.twimg.com/profile_images/753606995077435392/0XRI28kj_normal.jpg"/>
    <hyperlink ref="F15" r:id="rId51" display="http://pbs.twimg.com/profile_images/662669537129574400/dcwHw5NT_normal.jpg"/>
    <hyperlink ref="AX3" r:id="rId52" display="https://twitter.com/socialrivals"/>
    <hyperlink ref="AX4" r:id="rId53" display="https://twitter.com/pmunkcardiacctr"/>
    <hyperlink ref="AX5" r:id="rId54" display="https://twitter.com/timmcclure23"/>
    <hyperlink ref="AX6" r:id="rId55" display="https://twitter.com/enbridge"/>
    <hyperlink ref="AX7" r:id="rId56" display="https://twitter.com/harryroseninc"/>
    <hyperlink ref="AX8" r:id="rId57" display="https://twitter.com/scotiabank"/>
    <hyperlink ref="AX9" r:id="rId58" display="https://twitter.com/longosmarkets"/>
    <hyperlink ref="AX10" r:id="rId59" display="https://twitter.com/theontarioride"/>
    <hyperlink ref="AX11" r:id="rId60" display="https://twitter.com/onewalktoronto"/>
    <hyperlink ref="AX12" r:id="rId61" display="https://twitter.com/roadhockey"/>
    <hyperlink ref="AX13" r:id="rId62" display="https://twitter.com/mburnspmcf"/>
    <hyperlink ref="AX14" r:id="rId63" display="https://twitter.com/thepmcf"/>
    <hyperlink ref="AX15" r:id="rId64" display="https://twitter.com/pmcancercentre"/>
  </hyperlinks>
  <printOptions/>
  <pageMargins left="0.7" right="0.7" top="0.75" bottom="0.75" header="0.3" footer="0.3"/>
  <pageSetup horizontalDpi="600" verticalDpi="600" orientation="portrait" r:id="rId68"/>
  <legacyDrawing r:id="rId66"/>
  <tableParts>
    <tablePart r:id="rId6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442</v>
      </c>
      <c r="Z2" s="13" t="s">
        <v>447</v>
      </c>
      <c r="AA2" s="13" t="s">
        <v>455</v>
      </c>
      <c r="AB2" s="13" t="s">
        <v>468</v>
      </c>
      <c r="AC2" s="13" t="s">
        <v>482</v>
      </c>
      <c r="AD2" s="13" t="s">
        <v>492</v>
      </c>
      <c r="AE2" s="13" t="s">
        <v>493</v>
      </c>
      <c r="AF2" s="13" t="s">
        <v>500</v>
      </c>
      <c r="AG2" s="67" t="s">
        <v>538</v>
      </c>
      <c r="AH2" s="67" t="s">
        <v>539</v>
      </c>
      <c r="AI2" s="67" t="s">
        <v>540</v>
      </c>
      <c r="AJ2" s="67" t="s">
        <v>541</v>
      </c>
      <c r="AK2" s="67" t="s">
        <v>542</v>
      </c>
      <c r="AL2" s="67" t="s">
        <v>543</v>
      </c>
      <c r="AM2" s="67" t="s">
        <v>544</v>
      </c>
      <c r="AN2" s="67" t="s">
        <v>545</v>
      </c>
      <c r="AO2" s="67" t="s">
        <v>548</v>
      </c>
    </row>
    <row r="3" spans="1:41" ht="15">
      <c r="A3" s="125" t="s">
        <v>417</v>
      </c>
      <c r="B3" s="126" t="s">
        <v>420</v>
      </c>
      <c r="C3" s="126" t="s">
        <v>56</v>
      </c>
      <c r="D3" s="117"/>
      <c r="E3" s="116"/>
      <c r="F3" s="118" t="s">
        <v>417</v>
      </c>
      <c r="G3" s="119"/>
      <c r="H3" s="119"/>
      <c r="I3" s="120">
        <v>3</v>
      </c>
      <c r="J3" s="121"/>
      <c r="K3" s="51">
        <v>6</v>
      </c>
      <c r="L3" s="51">
        <v>5</v>
      </c>
      <c r="M3" s="51">
        <v>0</v>
      </c>
      <c r="N3" s="51">
        <v>5</v>
      </c>
      <c r="O3" s="51">
        <v>0</v>
      </c>
      <c r="P3" s="52">
        <v>0</v>
      </c>
      <c r="Q3" s="52">
        <v>0</v>
      </c>
      <c r="R3" s="51">
        <v>1</v>
      </c>
      <c r="S3" s="51">
        <v>0</v>
      </c>
      <c r="T3" s="51">
        <v>6</v>
      </c>
      <c r="U3" s="51">
        <v>5</v>
      </c>
      <c r="V3" s="51">
        <v>2</v>
      </c>
      <c r="W3" s="52">
        <v>1.388889</v>
      </c>
      <c r="X3" s="52">
        <v>0.16666666666666666</v>
      </c>
      <c r="Y3" s="85"/>
      <c r="Z3" s="85"/>
      <c r="AA3" s="85"/>
      <c r="AB3" s="91" t="s">
        <v>246</v>
      </c>
      <c r="AC3" s="91" t="s">
        <v>246</v>
      </c>
      <c r="AD3" s="91"/>
      <c r="AE3" s="91" t="s">
        <v>494</v>
      </c>
      <c r="AF3" s="91" t="s">
        <v>501</v>
      </c>
      <c r="AG3" s="131">
        <v>1</v>
      </c>
      <c r="AH3" s="134">
        <v>6.25</v>
      </c>
      <c r="AI3" s="131">
        <v>0</v>
      </c>
      <c r="AJ3" s="134">
        <v>0</v>
      </c>
      <c r="AK3" s="131">
        <v>0</v>
      </c>
      <c r="AL3" s="134">
        <v>0</v>
      </c>
      <c r="AM3" s="131">
        <v>15</v>
      </c>
      <c r="AN3" s="134">
        <v>93.75</v>
      </c>
      <c r="AO3" s="131">
        <v>16</v>
      </c>
    </row>
    <row r="4" spans="1:41" ht="15">
      <c r="A4" s="125" t="s">
        <v>418</v>
      </c>
      <c r="B4" s="126" t="s">
        <v>421</v>
      </c>
      <c r="C4" s="126" t="s">
        <v>56</v>
      </c>
      <c r="D4" s="122"/>
      <c r="E4" s="100"/>
      <c r="F4" s="103" t="s">
        <v>554</v>
      </c>
      <c r="G4" s="107"/>
      <c r="H4" s="107"/>
      <c r="I4" s="123">
        <v>4</v>
      </c>
      <c r="J4" s="110"/>
      <c r="K4" s="51">
        <v>5</v>
      </c>
      <c r="L4" s="51">
        <v>4</v>
      </c>
      <c r="M4" s="51">
        <v>0</v>
      </c>
      <c r="N4" s="51">
        <v>4</v>
      </c>
      <c r="O4" s="51">
        <v>0</v>
      </c>
      <c r="P4" s="52">
        <v>0</v>
      </c>
      <c r="Q4" s="52">
        <v>0</v>
      </c>
      <c r="R4" s="51">
        <v>1</v>
      </c>
      <c r="S4" s="51">
        <v>0</v>
      </c>
      <c r="T4" s="51">
        <v>5</v>
      </c>
      <c r="U4" s="51">
        <v>4</v>
      </c>
      <c r="V4" s="51">
        <v>2</v>
      </c>
      <c r="W4" s="52">
        <v>1.28</v>
      </c>
      <c r="X4" s="52">
        <v>0.2</v>
      </c>
      <c r="Y4" s="85" t="s">
        <v>230</v>
      </c>
      <c r="Z4" s="85" t="s">
        <v>232</v>
      </c>
      <c r="AA4" s="85" t="s">
        <v>234</v>
      </c>
      <c r="AB4" s="91" t="s">
        <v>469</v>
      </c>
      <c r="AC4" s="91" t="s">
        <v>483</v>
      </c>
      <c r="AD4" s="91"/>
      <c r="AE4" s="91" t="s">
        <v>495</v>
      </c>
      <c r="AF4" s="91" t="s">
        <v>502</v>
      </c>
      <c r="AG4" s="131">
        <v>4</v>
      </c>
      <c r="AH4" s="134">
        <v>8.333333333333334</v>
      </c>
      <c r="AI4" s="131">
        <v>0</v>
      </c>
      <c r="AJ4" s="134">
        <v>0</v>
      </c>
      <c r="AK4" s="131">
        <v>0</v>
      </c>
      <c r="AL4" s="134">
        <v>0</v>
      </c>
      <c r="AM4" s="131">
        <v>44</v>
      </c>
      <c r="AN4" s="134">
        <v>91.66666666666667</v>
      </c>
      <c r="AO4" s="131">
        <v>48</v>
      </c>
    </row>
    <row r="5" spans="1:41" ht="15">
      <c r="A5" s="125" t="s">
        <v>419</v>
      </c>
      <c r="B5" s="126" t="s">
        <v>422</v>
      </c>
      <c r="C5" s="126" t="s">
        <v>56</v>
      </c>
      <c r="D5" s="122"/>
      <c r="E5" s="100"/>
      <c r="F5" s="103" t="s">
        <v>555</v>
      </c>
      <c r="G5" s="107"/>
      <c r="H5" s="107"/>
      <c r="I5" s="123">
        <v>5</v>
      </c>
      <c r="J5" s="110"/>
      <c r="K5" s="51">
        <v>2</v>
      </c>
      <c r="L5" s="51">
        <v>1</v>
      </c>
      <c r="M5" s="51">
        <v>0</v>
      </c>
      <c r="N5" s="51">
        <v>1</v>
      </c>
      <c r="O5" s="51">
        <v>0</v>
      </c>
      <c r="P5" s="52">
        <v>0</v>
      </c>
      <c r="Q5" s="52">
        <v>0</v>
      </c>
      <c r="R5" s="51">
        <v>1</v>
      </c>
      <c r="S5" s="51">
        <v>0</v>
      </c>
      <c r="T5" s="51">
        <v>2</v>
      </c>
      <c r="U5" s="51">
        <v>1</v>
      </c>
      <c r="V5" s="51">
        <v>1</v>
      </c>
      <c r="W5" s="52">
        <v>0.5</v>
      </c>
      <c r="X5" s="52">
        <v>0.5</v>
      </c>
      <c r="Y5" s="85" t="s">
        <v>229</v>
      </c>
      <c r="Z5" s="85" t="s">
        <v>231</v>
      </c>
      <c r="AA5" s="85" t="s">
        <v>233</v>
      </c>
      <c r="AB5" s="91" t="s">
        <v>467</v>
      </c>
      <c r="AC5" s="91" t="s">
        <v>246</v>
      </c>
      <c r="AD5" s="91"/>
      <c r="AE5" s="91" t="s">
        <v>215</v>
      </c>
      <c r="AF5" s="91" t="s">
        <v>503</v>
      </c>
      <c r="AG5" s="131">
        <v>0</v>
      </c>
      <c r="AH5" s="134">
        <v>0</v>
      </c>
      <c r="AI5" s="131">
        <v>1</v>
      </c>
      <c r="AJ5" s="134">
        <v>8.333333333333334</v>
      </c>
      <c r="AK5" s="131">
        <v>0</v>
      </c>
      <c r="AL5" s="134">
        <v>0</v>
      </c>
      <c r="AM5" s="131">
        <v>11</v>
      </c>
      <c r="AN5" s="134">
        <v>91.66666666666667</v>
      </c>
      <c r="AO5" s="131">
        <v>12</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417</v>
      </c>
      <c r="B2" s="91" t="s">
        <v>214</v>
      </c>
      <c r="C2" s="85">
        <f>VLOOKUP(GroupVertices[[#This Row],[Vertex]],Vertices[],MATCH("ID",Vertices[[#Headers],[Vertex]:[Vertex Content Word Count]],0),FALSE)</f>
        <v>11</v>
      </c>
    </row>
    <row r="3" spans="1:3" ht="15">
      <c r="A3" s="85" t="s">
        <v>417</v>
      </c>
      <c r="B3" s="91" t="s">
        <v>224</v>
      </c>
      <c r="C3" s="85">
        <f>VLOOKUP(GroupVertices[[#This Row],[Vertex]],Vertices[],MATCH("ID",Vertices[[#Headers],[Vertex]:[Vertex Content Word Count]],0),FALSE)</f>
        <v>15</v>
      </c>
    </row>
    <row r="4" spans="1:3" ht="15">
      <c r="A4" s="85" t="s">
        <v>417</v>
      </c>
      <c r="B4" s="91" t="s">
        <v>223</v>
      </c>
      <c r="C4" s="85">
        <f>VLOOKUP(GroupVertices[[#This Row],[Vertex]],Vertices[],MATCH("ID",Vertices[[#Headers],[Vertex]:[Vertex Content Word Count]],0),FALSE)</f>
        <v>14</v>
      </c>
    </row>
    <row r="5" spans="1:3" ht="15">
      <c r="A5" s="85" t="s">
        <v>417</v>
      </c>
      <c r="B5" s="91" t="s">
        <v>222</v>
      </c>
      <c r="C5" s="85">
        <f>VLOOKUP(GroupVertices[[#This Row],[Vertex]],Vertices[],MATCH("ID",Vertices[[#Headers],[Vertex]:[Vertex Content Word Count]],0),FALSE)</f>
        <v>13</v>
      </c>
    </row>
    <row r="6" spans="1:3" ht="15">
      <c r="A6" s="85" t="s">
        <v>417</v>
      </c>
      <c r="B6" s="91" t="s">
        <v>221</v>
      </c>
      <c r="C6" s="85">
        <f>VLOOKUP(GroupVertices[[#This Row],[Vertex]],Vertices[],MATCH("ID",Vertices[[#Headers],[Vertex]:[Vertex Content Word Count]],0),FALSE)</f>
        <v>12</v>
      </c>
    </row>
    <row r="7" spans="1:3" ht="15">
      <c r="A7" s="85" t="s">
        <v>417</v>
      </c>
      <c r="B7" s="91" t="s">
        <v>220</v>
      </c>
      <c r="C7" s="85">
        <f>VLOOKUP(GroupVertices[[#This Row],[Vertex]],Vertices[],MATCH("ID",Vertices[[#Headers],[Vertex]:[Vertex Content Word Count]],0),FALSE)</f>
        <v>10</v>
      </c>
    </row>
    <row r="8" spans="1:3" ht="15">
      <c r="A8" s="85" t="s">
        <v>418</v>
      </c>
      <c r="B8" s="91" t="s">
        <v>213</v>
      </c>
      <c r="C8" s="85">
        <f>VLOOKUP(GroupVertices[[#This Row],[Vertex]],Vertices[],MATCH("ID",Vertices[[#Headers],[Vertex]:[Vertex Content Word Count]],0),FALSE)</f>
        <v>5</v>
      </c>
    </row>
    <row r="9" spans="1:3" ht="15">
      <c r="A9" s="85" t="s">
        <v>418</v>
      </c>
      <c r="B9" s="91" t="s">
        <v>219</v>
      </c>
      <c r="C9" s="85">
        <f>VLOOKUP(GroupVertices[[#This Row],[Vertex]],Vertices[],MATCH("ID",Vertices[[#Headers],[Vertex]:[Vertex Content Word Count]],0),FALSE)</f>
        <v>9</v>
      </c>
    </row>
    <row r="10" spans="1:3" ht="15">
      <c r="A10" s="85" t="s">
        <v>418</v>
      </c>
      <c r="B10" s="91" t="s">
        <v>218</v>
      </c>
      <c r="C10" s="85">
        <f>VLOOKUP(GroupVertices[[#This Row],[Vertex]],Vertices[],MATCH("ID",Vertices[[#Headers],[Vertex]:[Vertex Content Word Count]],0),FALSE)</f>
        <v>8</v>
      </c>
    </row>
    <row r="11" spans="1:3" ht="15">
      <c r="A11" s="85" t="s">
        <v>418</v>
      </c>
      <c r="B11" s="91" t="s">
        <v>217</v>
      </c>
      <c r="C11" s="85">
        <f>VLOOKUP(GroupVertices[[#This Row],[Vertex]],Vertices[],MATCH("ID",Vertices[[#Headers],[Vertex]:[Vertex Content Word Count]],0),FALSE)</f>
        <v>7</v>
      </c>
    </row>
    <row r="12" spans="1:3" ht="15">
      <c r="A12" s="85" t="s">
        <v>418</v>
      </c>
      <c r="B12" s="91" t="s">
        <v>216</v>
      </c>
      <c r="C12" s="85">
        <f>VLOOKUP(GroupVertices[[#This Row],[Vertex]],Vertices[],MATCH("ID",Vertices[[#Headers],[Vertex]:[Vertex Content Word Count]],0),FALSE)</f>
        <v>6</v>
      </c>
    </row>
    <row r="13" spans="1:3" ht="15">
      <c r="A13" s="85" t="s">
        <v>419</v>
      </c>
      <c r="B13" s="91" t="s">
        <v>212</v>
      </c>
      <c r="C13" s="85">
        <f>VLOOKUP(GroupVertices[[#This Row],[Vertex]],Vertices[],MATCH("ID",Vertices[[#Headers],[Vertex]:[Vertex Content Word Count]],0),FALSE)</f>
        <v>3</v>
      </c>
    </row>
    <row r="14" spans="1:3" ht="15">
      <c r="A14" s="85" t="s">
        <v>419</v>
      </c>
      <c r="B14" s="91" t="s">
        <v>215</v>
      </c>
      <c r="C14" s="85">
        <f>VLOOKUP(GroupVertices[[#This Row],[Vertex]],Vertices[],MATCH("ID",Vertices[[#Headers],[Vertex]:[Vertex Content Word Count]],0),FALSE)</f>
        <v>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429</v>
      </c>
      <c r="B2" s="36" t="s">
        <v>378</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10</v>
      </c>
      <c r="J2" s="39">
        <f>MIN(Vertices[Betweenness Centrality])</f>
        <v>0</v>
      </c>
      <c r="K2" s="40">
        <f>COUNTIF(Vertices[Betweenness Centrality],"&gt;= "&amp;J2)-COUNTIF(Vertices[Betweenness Centrality],"&gt;="&amp;J3)</f>
        <v>11</v>
      </c>
      <c r="L2" s="39">
        <f>MIN(Vertices[Closeness Centrality])</f>
        <v>0.052632</v>
      </c>
      <c r="M2" s="40">
        <f>COUNTIF(Vertices[Closeness Centrality],"&gt;= "&amp;L2)-COUNTIF(Vertices[Closeness Centrality],"&gt;="&amp;L3)</f>
        <v>9</v>
      </c>
      <c r="N2" s="39">
        <f>MIN(Vertices[Eigenvector Centrality])</f>
        <v>0</v>
      </c>
      <c r="O2" s="40">
        <f>COUNTIF(Vertices[Eigenvector Centrality],"&gt;= "&amp;N2)-COUNTIF(Vertices[Eigenvector Centrality],"&gt;="&amp;N3)</f>
        <v>2</v>
      </c>
      <c r="P2" s="39">
        <f>MIN(Vertices[PageRank])</f>
        <v>0.449407</v>
      </c>
      <c r="Q2" s="40">
        <f>COUNTIF(Vertices[PageRank],"&gt;= "&amp;P2)-COUNTIF(Vertices[PageRank],"&gt;="&amp;P3)</f>
        <v>4</v>
      </c>
      <c r="R2" s="39">
        <f>MIN(Vertices[Clustering Coefficient])</f>
        <v>0</v>
      </c>
      <c r="S2" s="45">
        <f>COUNTIF(Vertices[Clustering Coefficient],"&gt;= "&amp;R2)-COUNTIF(Vertices[Clustering Coefficient],"&gt;="&amp;R3)</f>
        <v>6</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29"/>
      <c r="B3" s="129"/>
      <c r="D3" s="34">
        <f aca="true" t="shared" si="1" ref="D3:D26">D2+($D$57-$D$2)/BinDivisor</f>
        <v>0</v>
      </c>
      <c r="E3" s="3">
        <f>COUNTIF(Vertices[Degree],"&gt;= "&amp;D3)-COUNTIF(Vertices[Degree],"&gt;="&amp;D4)</f>
        <v>0</v>
      </c>
      <c r="F3" s="41">
        <f aca="true" t="shared" si="2" ref="F3:F26">F2+($F$57-$F$2)/BinDivisor</f>
        <v>0.03636363636363636</v>
      </c>
      <c r="G3" s="42">
        <f>COUNTIF(Vertices[In-Degree],"&gt;= "&amp;F3)-COUNTIF(Vertices[In-Degree],"&gt;="&amp;F4)</f>
        <v>0</v>
      </c>
      <c r="H3" s="41">
        <f aca="true" t="shared" si="3" ref="H3:H26">H2+($H$57-$H$2)/BinDivisor</f>
        <v>0.18181818181818182</v>
      </c>
      <c r="I3" s="42">
        <f>COUNTIF(Vertices[Out-Degree],"&gt;= "&amp;H3)-COUNTIF(Vertices[Out-Degree],"&gt;="&amp;H4)</f>
        <v>0</v>
      </c>
      <c r="J3" s="41">
        <f aca="true" t="shared" si="4" ref="J3:J26">J2+($J$57-$J$2)/BinDivisor</f>
        <v>1.2727272727272727</v>
      </c>
      <c r="K3" s="42">
        <f>COUNTIF(Vertices[Betweenness Centrality],"&gt;= "&amp;J3)-COUNTIF(Vertices[Betweenness Centrality],"&gt;="&amp;J4)</f>
        <v>0</v>
      </c>
      <c r="L3" s="41">
        <f aca="true" t="shared" si="5" ref="L3:L26">L2+($L$57-$L$2)/BinDivisor</f>
        <v>0.06985687272727273</v>
      </c>
      <c r="M3" s="42">
        <f>COUNTIF(Vertices[Closeness Centrality],"&gt;= "&amp;L3)-COUNTIF(Vertices[Closeness Centrality],"&gt;="&amp;L4)</f>
        <v>1</v>
      </c>
      <c r="N3" s="41">
        <f aca="true" t="shared" si="6" ref="N3:N26">N2+($N$57-$N$2)/BinDivisor</f>
        <v>0.003613872727272727</v>
      </c>
      <c r="O3" s="42">
        <f>COUNTIF(Vertices[Eigenvector Centrality],"&gt;= "&amp;N3)-COUNTIF(Vertices[Eigenvector Centrality],"&gt;="&amp;N4)</f>
        <v>0</v>
      </c>
      <c r="P3" s="41">
        <f aca="true" t="shared" si="7" ref="P3:P26">P2+($P$57-$P$2)/BinDivisor</f>
        <v>0.5052806363636364</v>
      </c>
      <c r="Q3" s="42">
        <f>COUNTIF(Vertices[PageRank],"&gt;= "&amp;P3)-COUNTIF(Vertices[PageRank],"&gt;="&amp;P4)</f>
        <v>0</v>
      </c>
      <c r="R3" s="41">
        <f aca="true" t="shared" si="8" ref="R3:R26">R2+($R$57-$R$2)/BinDivisor</f>
        <v>0.01818181818181818</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13</v>
      </c>
      <c r="D4" s="34">
        <f t="shared" si="1"/>
        <v>0</v>
      </c>
      <c r="E4" s="3">
        <f>COUNTIF(Vertices[Degree],"&gt;= "&amp;D4)-COUNTIF(Vertices[Degree],"&gt;="&amp;D5)</f>
        <v>0</v>
      </c>
      <c r="F4" s="39">
        <f t="shared" si="2"/>
        <v>0.07272727272727272</v>
      </c>
      <c r="G4" s="40">
        <f>COUNTIF(Vertices[In-Degree],"&gt;= "&amp;F4)-COUNTIF(Vertices[In-Degree],"&gt;="&amp;F5)</f>
        <v>0</v>
      </c>
      <c r="H4" s="39">
        <f t="shared" si="3"/>
        <v>0.36363636363636365</v>
      </c>
      <c r="I4" s="40">
        <f>COUNTIF(Vertices[Out-Degree],"&gt;= "&amp;H4)-COUNTIF(Vertices[Out-Degree],"&gt;="&amp;H5)</f>
        <v>0</v>
      </c>
      <c r="J4" s="39">
        <f t="shared" si="4"/>
        <v>2.5454545454545454</v>
      </c>
      <c r="K4" s="40">
        <f>COUNTIF(Vertices[Betweenness Centrality],"&gt;= "&amp;J4)-COUNTIF(Vertices[Betweenness Centrality],"&gt;="&amp;J5)</f>
        <v>0</v>
      </c>
      <c r="L4" s="39">
        <f t="shared" si="5"/>
        <v>0.08708174545454546</v>
      </c>
      <c r="M4" s="40">
        <f>COUNTIF(Vertices[Closeness Centrality],"&gt;= "&amp;L4)-COUNTIF(Vertices[Closeness Centrality],"&gt;="&amp;L5)</f>
        <v>1</v>
      </c>
      <c r="N4" s="39">
        <f t="shared" si="6"/>
        <v>0.007227745454545454</v>
      </c>
      <c r="O4" s="40">
        <f>COUNTIF(Vertices[Eigenvector Centrality],"&gt;= "&amp;N4)-COUNTIF(Vertices[Eigenvector Centrality],"&gt;="&amp;N5)</f>
        <v>0</v>
      </c>
      <c r="P4" s="39">
        <f t="shared" si="7"/>
        <v>0.5611542727272728</v>
      </c>
      <c r="Q4" s="40">
        <f>COUNTIF(Vertices[PageRank],"&gt;= "&amp;P4)-COUNTIF(Vertices[PageRank],"&gt;="&amp;P5)</f>
        <v>0</v>
      </c>
      <c r="R4" s="39">
        <f t="shared" si="8"/>
        <v>0.03636363636363636</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0.10909090909090909</v>
      </c>
      <c r="G5" s="42">
        <f>COUNTIF(Vertices[In-Degree],"&gt;= "&amp;F5)-COUNTIF(Vertices[In-Degree],"&gt;="&amp;F6)</f>
        <v>0</v>
      </c>
      <c r="H5" s="41">
        <f t="shared" si="3"/>
        <v>0.5454545454545454</v>
      </c>
      <c r="I5" s="42">
        <f>COUNTIF(Vertices[Out-Degree],"&gt;= "&amp;H5)-COUNTIF(Vertices[Out-Degree],"&gt;="&amp;H6)</f>
        <v>0</v>
      </c>
      <c r="J5" s="41">
        <f t="shared" si="4"/>
        <v>3.8181818181818183</v>
      </c>
      <c r="K5" s="42">
        <f>COUNTIF(Vertices[Betweenness Centrality],"&gt;= "&amp;J5)-COUNTIF(Vertices[Betweenness Centrality],"&gt;="&amp;J6)</f>
        <v>0</v>
      </c>
      <c r="L5" s="41">
        <f t="shared" si="5"/>
        <v>0.10430661818181819</v>
      </c>
      <c r="M5" s="42">
        <f>COUNTIF(Vertices[Closeness Centrality],"&gt;= "&amp;L5)-COUNTIF(Vertices[Closeness Centrality],"&gt;="&amp;L6)</f>
        <v>0</v>
      </c>
      <c r="N5" s="41">
        <f t="shared" si="6"/>
        <v>0.010841618181818181</v>
      </c>
      <c r="O5" s="42">
        <f>COUNTIF(Vertices[Eigenvector Centrality],"&gt;= "&amp;N5)-COUNTIF(Vertices[Eigenvector Centrality],"&gt;="&amp;N6)</f>
        <v>0</v>
      </c>
      <c r="P5" s="41">
        <f t="shared" si="7"/>
        <v>0.6170279090909092</v>
      </c>
      <c r="Q5" s="42">
        <f>COUNTIF(Vertices[PageRank],"&gt;= "&amp;P5)-COUNTIF(Vertices[PageRank],"&gt;="&amp;P6)</f>
        <v>0</v>
      </c>
      <c r="R5" s="41">
        <f t="shared" si="8"/>
        <v>0.05454545454545454</v>
      </c>
      <c r="S5" s="46">
        <f>COUNTIF(Vertices[Clustering Coefficient],"&gt;= "&amp;R5)-COUNTIF(Vertices[Clustering Coefficient],"&gt;="&amp;R6)</f>
        <v>1</v>
      </c>
      <c r="T5" s="41" t="e">
        <f ca="1" t="shared" si="9"/>
        <v>#REF!</v>
      </c>
      <c r="U5" s="42" t="e">
        <f ca="1" t="shared" si="0"/>
        <v>#REF!</v>
      </c>
    </row>
    <row r="6" spans="1:21" ht="15">
      <c r="A6" s="36" t="s">
        <v>148</v>
      </c>
      <c r="B6" s="36">
        <v>11</v>
      </c>
      <c r="D6" s="34">
        <f t="shared" si="1"/>
        <v>0</v>
      </c>
      <c r="E6" s="3">
        <f>COUNTIF(Vertices[Degree],"&gt;= "&amp;D6)-COUNTIF(Vertices[Degree],"&gt;="&amp;D7)</f>
        <v>0</v>
      </c>
      <c r="F6" s="39">
        <f t="shared" si="2"/>
        <v>0.14545454545454545</v>
      </c>
      <c r="G6" s="40">
        <f>COUNTIF(Vertices[In-Degree],"&gt;= "&amp;F6)-COUNTIF(Vertices[In-Degree],"&gt;="&amp;F7)</f>
        <v>0</v>
      </c>
      <c r="H6" s="39">
        <f t="shared" si="3"/>
        <v>0.7272727272727273</v>
      </c>
      <c r="I6" s="40">
        <f>COUNTIF(Vertices[Out-Degree],"&gt;= "&amp;H6)-COUNTIF(Vertices[Out-Degree],"&gt;="&amp;H7)</f>
        <v>0</v>
      </c>
      <c r="J6" s="39">
        <f t="shared" si="4"/>
        <v>5.090909090909091</v>
      </c>
      <c r="K6" s="40">
        <f>COUNTIF(Vertices[Betweenness Centrality],"&gt;= "&amp;J6)-COUNTIF(Vertices[Betweenness Centrality],"&gt;="&amp;J7)</f>
        <v>0</v>
      </c>
      <c r="L6" s="39">
        <f t="shared" si="5"/>
        <v>0.12153149090909092</v>
      </c>
      <c r="M6" s="40">
        <f>COUNTIF(Vertices[Closeness Centrality],"&gt;= "&amp;L6)-COUNTIF(Vertices[Closeness Centrality],"&gt;="&amp;L7)</f>
        <v>0</v>
      </c>
      <c r="N6" s="39">
        <f t="shared" si="6"/>
        <v>0.014455490909090908</v>
      </c>
      <c r="O6" s="40">
        <f>COUNTIF(Vertices[Eigenvector Centrality],"&gt;= "&amp;N6)-COUNTIF(Vertices[Eigenvector Centrality],"&gt;="&amp;N7)</f>
        <v>0</v>
      </c>
      <c r="P6" s="39">
        <f t="shared" si="7"/>
        <v>0.6729015454545456</v>
      </c>
      <c r="Q6" s="40">
        <f>COUNTIF(Vertices[PageRank],"&gt;= "&amp;P6)-COUNTIF(Vertices[PageRank],"&gt;="&amp;P7)</f>
        <v>0</v>
      </c>
      <c r="R6" s="39">
        <f t="shared" si="8"/>
        <v>0.07272727272727272</v>
      </c>
      <c r="S6" s="45">
        <f>COUNTIF(Vertices[Clustering Coefficient],"&gt;= "&amp;R6)-COUNTIF(Vertices[Clustering Coefficient],"&gt;="&amp;R7)</f>
        <v>0</v>
      </c>
      <c r="T6" s="39" t="e">
        <f ca="1" t="shared" si="9"/>
        <v>#REF!</v>
      </c>
      <c r="U6" s="40" t="e">
        <f ca="1" t="shared" si="0"/>
        <v>#REF!</v>
      </c>
    </row>
    <row r="7" spans="1:21" ht="15">
      <c r="A7" s="36" t="s">
        <v>149</v>
      </c>
      <c r="B7" s="36">
        <v>12</v>
      </c>
      <c r="D7" s="34">
        <f t="shared" si="1"/>
        <v>0</v>
      </c>
      <c r="E7" s="3">
        <f>COUNTIF(Vertices[Degree],"&gt;= "&amp;D7)-COUNTIF(Vertices[Degree],"&gt;="&amp;D8)</f>
        <v>0</v>
      </c>
      <c r="F7" s="41">
        <f t="shared" si="2"/>
        <v>0.18181818181818182</v>
      </c>
      <c r="G7" s="42">
        <f>COUNTIF(Vertices[In-Degree],"&gt;= "&amp;F7)-COUNTIF(Vertices[In-Degree],"&gt;="&amp;F8)</f>
        <v>0</v>
      </c>
      <c r="H7" s="41">
        <f t="shared" si="3"/>
        <v>0.9090909090909092</v>
      </c>
      <c r="I7" s="42">
        <f>COUNTIF(Vertices[Out-Degree],"&gt;= "&amp;H7)-COUNTIF(Vertices[Out-Degree],"&gt;="&amp;H8)</f>
        <v>1</v>
      </c>
      <c r="J7" s="41">
        <f t="shared" si="4"/>
        <v>6.363636363636363</v>
      </c>
      <c r="K7" s="42">
        <f>COUNTIF(Vertices[Betweenness Centrality],"&gt;= "&amp;J7)-COUNTIF(Vertices[Betweenness Centrality],"&gt;="&amp;J8)</f>
        <v>0</v>
      </c>
      <c r="L7" s="41">
        <f t="shared" si="5"/>
        <v>0.13875636363636365</v>
      </c>
      <c r="M7" s="42">
        <f>COUNTIF(Vertices[Closeness Centrality],"&gt;= "&amp;L7)-COUNTIF(Vertices[Closeness Centrality],"&gt;="&amp;L8)</f>
        <v>0</v>
      </c>
      <c r="N7" s="41">
        <f t="shared" si="6"/>
        <v>0.018069363636363633</v>
      </c>
      <c r="O7" s="42">
        <f>COUNTIF(Vertices[Eigenvector Centrality],"&gt;= "&amp;N7)-COUNTIF(Vertices[Eigenvector Centrality],"&gt;="&amp;N8)</f>
        <v>0</v>
      </c>
      <c r="P7" s="41">
        <f t="shared" si="7"/>
        <v>0.728775181818182</v>
      </c>
      <c r="Q7" s="42">
        <f>COUNTIF(Vertices[PageRank],"&gt;= "&amp;P7)-COUNTIF(Vertices[PageRank],"&gt;="&amp;P8)</f>
        <v>5</v>
      </c>
      <c r="R7" s="41">
        <f t="shared" si="8"/>
        <v>0.09090909090909091</v>
      </c>
      <c r="S7" s="46">
        <f>COUNTIF(Vertices[Clustering Coefficient],"&gt;= "&amp;R7)-COUNTIF(Vertices[Clustering Coefficient],"&gt;="&amp;R8)</f>
        <v>0</v>
      </c>
      <c r="T7" s="41" t="e">
        <f ca="1" t="shared" si="9"/>
        <v>#REF!</v>
      </c>
      <c r="U7" s="42" t="e">
        <f ca="1" t="shared" si="0"/>
        <v>#REF!</v>
      </c>
    </row>
    <row r="8" spans="1:21" ht="15">
      <c r="A8" s="36" t="s">
        <v>150</v>
      </c>
      <c r="B8" s="36">
        <v>23</v>
      </c>
      <c r="D8" s="34">
        <f t="shared" si="1"/>
        <v>0</v>
      </c>
      <c r="E8" s="3">
        <f>COUNTIF(Vertices[Degree],"&gt;= "&amp;D8)-COUNTIF(Vertices[Degree],"&gt;="&amp;D9)</f>
        <v>0</v>
      </c>
      <c r="F8" s="39">
        <f t="shared" si="2"/>
        <v>0.2181818181818182</v>
      </c>
      <c r="G8" s="40">
        <f>COUNTIF(Vertices[In-Degree],"&gt;= "&amp;F8)-COUNTIF(Vertices[In-Degree],"&gt;="&amp;F9)</f>
        <v>0</v>
      </c>
      <c r="H8" s="39">
        <f t="shared" si="3"/>
        <v>1.090909090909091</v>
      </c>
      <c r="I8" s="40">
        <f>COUNTIF(Vertices[Out-Degree],"&gt;= "&amp;H8)-COUNTIF(Vertices[Out-Degree],"&gt;="&amp;H9)</f>
        <v>0</v>
      </c>
      <c r="J8" s="39">
        <f t="shared" si="4"/>
        <v>7.636363636363636</v>
      </c>
      <c r="K8" s="40">
        <f>COUNTIF(Vertices[Betweenness Centrality],"&gt;= "&amp;J8)-COUNTIF(Vertices[Betweenness Centrality],"&gt;="&amp;J9)</f>
        <v>0</v>
      </c>
      <c r="L8" s="39">
        <f t="shared" si="5"/>
        <v>0.15598123636363637</v>
      </c>
      <c r="M8" s="40">
        <f>COUNTIF(Vertices[Closeness Centrality],"&gt;= "&amp;L8)-COUNTIF(Vertices[Closeness Centrality],"&gt;="&amp;L9)</f>
        <v>0</v>
      </c>
      <c r="N8" s="39">
        <f t="shared" si="6"/>
        <v>0.02168323636363636</v>
      </c>
      <c r="O8" s="40">
        <f>COUNTIF(Vertices[Eigenvector Centrality],"&gt;= "&amp;N8)-COUNTIF(Vertices[Eigenvector Centrality],"&gt;="&amp;N9)</f>
        <v>0</v>
      </c>
      <c r="P8" s="39">
        <f t="shared" si="7"/>
        <v>0.7846488181818184</v>
      </c>
      <c r="Q8" s="40">
        <f>COUNTIF(Vertices[PageRank],"&gt;= "&amp;P8)-COUNTIF(Vertices[PageRank],"&gt;="&amp;P9)</f>
        <v>0</v>
      </c>
      <c r="R8" s="39">
        <f t="shared" si="8"/>
        <v>0.1090909090909091</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0.2545454545454546</v>
      </c>
      <c r="G9" s="42">
        <f>COUNTIF(Vertices[In-Degree],"&gt;= "&amp;F9)-COUNTIF(Vertices[In-Degree],"&gt;="&amp;F10)</f>
        <v>0</v>
      </c>
      <c r="H9" s="41">
        <f t="shared" si="3"/>
        <v>1.272727272727273</v>
      </c>
      <c r="I9" s="42">
        <f>COUNTIF(Vertices[Out-Degree],"&gt;= "&amp;H9)-COUNTIF(Vertices[Out-Degree],"&gt;="&amp;H10)</f>
        <v>0</v>
      </c>
      <c r="J9" s="41">
        <f t="shared" si="4"/>
        <v>8.909090909090908</v>
      </c>
      <c r="K9" s="42">
        <f>COUNTIF(Vertices[Betweenness Centrality],"&gt;= "&amp;J9)-COUNTIF(Vertices[Betweenness Centrality],"&gt;="&amp;J10)</f>
        <v>1</v>
      </c>
      <c r="L9" s="41">
        <f t="shared" si="5"/>
        <v>0.17320610909090908</v>
      </c>
      <c r="M9" s="42">
        <f>COUNTIF(Vertices[Closeness Centrality],"&gt;= "&amp;L9)-COUNTIF(Vertices[Closeness Centrality],"&gt;="&amp;L10)</f>
        <v>0</v>
      </c>
      <c r="N9" s="41">
        <f t="shared" si="6"/>
        <v>0.025297109090909084</v>
      </c>
      <c r="O9" s="42">
        <f>COUNTIF(Vertices[Eigenvector Centrality],"&gt;= "&amp;N9)-COUNTIF(Vertices[Eigenvector Centrality],"&gt;="&amp;N10)</f>
        <v>0</v>
      </c>
      <c r="P9" s="41">
        <f t="shared" si="7"/>
        <v>0.8405224545454548</v>
      </c>
      <c r="Q9" s="42">
        <f>COUNTIF(Vertices[PageRank],"&gt;= "&amp;P9)-COUNTIF(Vertices[PageRank],"&gt;="&amp;P10)</f>
        <v>0</v>
      </c>
      <c r="R9" s="41">
        <f t="shared" si="8"/>
        <v>0.1272727272727273</v>
      </c>
      <c r="S9" s="46">
        <f>COUNTIF(Vertices[Clustering Coefficient],"&gt;= "&amp;R9)-COUNTIF(Vertices[Clustering Coefficient],"&gt;="&amp;R10)</f>
        <v>0</v>
      </c>
      <c r="T9" s="41" t="e">
        <f ca="1" t="shared" si="9"/>
        <v>#REF!</v>
      </c>
      <c r="U9" s="42" t="e">
        <f ca="1" t="shared" si="0"/>
        <v>#REF!</v>
      </c>
    </row>
    <row r="10" spans="1:21" ht="15">
      <c r="A10" s="36" t="s">
        <v>430</v>
      </c>
      <c r="B10" s="36">
        <v>1</v>
      </c>
      <c r="D10" s="34">
        <f t="shared" si="1"/>
        <v>0</v>
      </c>
      <c r="E10" s="3">
        <f>COUNTIF(Vertices[Degree],"&gt;= "&amp;D10)-COUNTIF(Vertices[Degree],"&gt;="&amp;D11)</f>
        <v>0</v>
      </c>
      <c r="F10" s="39">
        <f t="shared" si="2"/>
        <v>0.29090909090909095</v>
      </c>
      <c r="G10" s="40">
        <f>COUNTIF(Vertices[In-Degree],"&gt;= "&amp;F10)-COUNTIF(Vertices[In-Degree],"&gt;="&amp;F11)</f>
        <v>0</v>
      </c>
      <c r="H10" s="39">
        <f t="shared" si="3"/>
        <v>1.4545454545454548</v>
      </c>
      <c r="I10" s="40">
        <f>COUNTIF(Vertices[Out-Degree],"&gt;= "&amp;H10)-COUNTIF(Vertices[Out-Degree],"&gt;="&amp;H11)</f>
        <v>0</v>
      </c>
      <c r="J10" s="39">
        <f t="shared" si="4"/>
        <v>10.181818181818182</v>
      </c>
      <c r="K10" s="40">
        <f>COUNTIF(Vertices[Betweenness Centrality],"&gt;= "&amp;J10)-COUNTIF(Vertices[Betweenness Centrality],"&gt;="&amp;J11)</f>
        <v>0</v>
      </c>
      <c r="L10" s="39">
        <f t="shared" si="5"/>
        <v>0.1904309818181818</v>
      </c>
      <c r="M10" s="40">
        <f>COUNTIF(Vertices[Closeness Centrality],"&gt;= "&amp;L10)-COUNTIF(Vertices[Closeness Centrality],"&gt;="&amp;L11)</f>
        <v>0</v>
      </c>
      <c r="N10" s="39">
        <f t="shared" si="6"/>
        <v>0.02891098181818181</v>
      </c>
      <c r="O10" s="40">
        <f>COUNTIF(Vertices[Eigenvector Centrality],"&gt;= "&amp;N10)-COUNTIF(Vertices[Eigenvector Centrality],"&gt;="&amp;N11)</f>
        <v>0</v>
      </c>
      <c r="P10" s="39">
        <f t="shared" si="7"/>
        <v>0.8963960909090912</v>
      </c>
      <c r="Q10" s="40">
        <f>COUNTIF(Vertices[PageRank],"&gt;= "&amp;P10)-COUNTIF(Vertices[PageRank],"&gt;="&amp;P11)</f>
        <v>0</v>
      </c>
      <c r="R10" s="39">
        <f t="shared" si="8"/>
        <v>0.14545454545454548</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0.3272727272727273</v>
      </c>
      <c r="G11" s="42">
        <f>COUNTIF(Vertices[In-Degree],"&gt;= "&amp;F11)-COUNTIF(Vertices[In-Degree],"&gt;="&amp;F12)</f>
        <v>0</v>
      </c>
      <c r="H11" s="41">
        <f t="shared" si="3"/>
        <v>1.6363636363636367</v>
      </c>
      <c r="I11" s="42">
        <f>COUNTIF(Vertices[Out-Degree],"&gt;= "&amp;H11)-COUNTIF(Vertices[Out-Degree],"&gt;="&amp;H12)</f>
        <v>0</v>
      </c>
      <c r="J11" s="41">
        <f t="shared" si="4"/>
        <v>11.454545454545455</v>
      </c>
      <c r="K11" s="42">
        <f>COUNTIF(Vertices[Betweenness Centrality],"&gt;= "&amp;J11)-COUNTIF(Vertices[Betweenness Centrality],"&gt;="&amp;J12)</f>
        <v>0</v>
      </c>
      <c r="L11" s="41">
        <f t="shared" si="5"/>
        <v>0.20765585454545452</v>
      </c>
      <c r="M11" s="42">
        <f>COUNTIF(Vertices[Closeness Centrality],"&gt;= "&amp;L11)-COUNTIF(Vertices[Closeness Centrality],"&gt;="&amp;L12)</f>
        <v>0</v>
      </c>
      <c r="N11" s="41">
        <f t="shared" si="6"/>
        <v>0.032524854545454535</v>
      </c>
      <c r="O11" s="42">
        <f>COUNTIF(Vertices[Eigenvector Centrality],"&gt;= "&amp;N11)-COUNTIF(Vertices[Eigenvector Centrality],"&gt;="&amp;N12)</f>
        <v>0</v>
      </c>
      <c r="P11" s="41">
        <f t="shared" si="7"/>
        <v>0.9522697272727276</v>
      </c>
      <c r="Q11" s="42">
        <f>COUNTIF(Vertices[PageRank],"&gt;= "&amp;P11)-COUNTIF(Vertices[PageRank],"&gt;="&amp;P12)</f>
        <v>2</v>
      </c>
      <c r="R11" s="41">
        <f t="shared" si="8"/>
        <v>0.16363636363636366</v>
      </c>
      <c r="S11" s="46">
        <f>COUNTIF(Vertices[Clustering Coefficient],"&gt;= "&amp;R11)-COUNTIF(Vertices[Clustering Coefficient],"&gt;="&amp;R12)</f>
        <v>1</v>
      </c>
      <c r="T11" s="41" t="e">
        <f ca="1" t="shared" si="9"/>
        <v>#REF!</v>
      </c>
      <c r="U11" s="42" t="e">
        <f ca="1" t="shared" si="0"/>
        <v>#REF!</v>
      </c>
    </row>
    <row r="12" spans="1:21" ht="15">
      <c r="A12" s="36" t="s">
        <v>225</v>
      </c>
      <c r="B12" s="36">
        <v>23</v>
      </c>
      <c r="D12" s="34">
        <f t="shared" si="1"/>
        <v>0</v>
      </c>
      <c r="E12" s="3">
        <f>COUNTIF(Vertices[Degree],"&gt;= "&amp;D12)-COUNTIF(Vertices[Degree],"&gt;="&amp;D13)</f>
        <v>0</v>
      </c>
      <c r="F12" s="39">
        <f t="shared" si="2"/>
        <v>0.3636363636363637</v>
      </c>
      <c r="G12" s="40">
        <f>COUNTIF(Vertices[In-Degree],"&gt;= "&amp;F12)-COUNTIF(Vertices[In-Degree],"&gt;="&amp;F13)</f>
        <v>0</v>
      </c>
      <c r="H12" s="39">
        <f t="shared" si="3"/>
        <v>1.8181818181818186</v>
      </c>
      <c r="I12" s="40">
        <f>COUNTIF(Vertices[Out-Degree],"&gt;= "&amp;H12)-COUNTIF(Vertices[Out-Degree],"&gt;="&amp;H13)</f>
        <v>0</v>
      </c>
      <c r="J12" s="39">
        <f t="shared" si="4"/>
        <v>12.727272727272728</v>
      </c>
      <c r="K12" s="40">
        <f>COUNTIF(Vertices[Betweenness Centrality],"&gt;= "&amp;J12)-COUNTIF(Vertices[Betweenness Centrality],"&gt;="&amp;J13)</f>
        <v>0</v>
      </c>
      <c r="L12" s="39">
        <f t="shared" si="5"/>
        <v>0.22488072727272723</v>
      </c>
      <c r="M12" s="40">
        <f>COUNTIF(Vertices[Closeness Centrality],"&gt;= "&amp;L12)-COUNTIF(Vertices[Closeness Centrality],"&gt;="&amp;L13)</f>
        <v>0</v>
      </c>
      <c r="N12" s="39">
        <f t="shared" si="6"/>
        <v>0.03613872727272726</v>
      </c>
      <c r="O12" s="40">
        <f>COUNTIF(Vertices[Eigenvector Centrality],"&gt;= "&amp;N12)-COUNTIF(Vertices[Eigenvector Centrality],"&gt;="&amp;N13)</f>
        <v>0</v>
      </c>
      <c r="P12" s="39">
        <f t="shared" si="7"/>
        <v>1.008143363636364</v>
      </c>
      <c r="Q12" s="40">
        <f>COUNTIF(Vertices[PageRank],"&gt;= "&amp;P12)-COUNTIF(Vertices[PageRank],"&gt;="&amp;P13)</f>
        <v>0</v>
      </c>
      <c r="R12" s="39">
        <f t="shared" si="8"/>
        <v>0.18181818181818185</v>
      </c>
      <c r="S12" s="45">
        <f>COUNTIF(Vertices[Clustering Coefficient],"&gt;= "&amp;R12)-COUNTIF(Vertices[Clustering Coefficient],"&gt;="&amp;R13)</f>
        <v>0</v>
      </c>
      <c r="T12" s="39" t="e">
        <f ca="1" t="shared" si="9"/>
        <v>#REF!</v>
      </c>
      <c r="U12" s="40" t="e">
        <f ca="1" t="shared" si="0"/>
        <v>#REF!</v>
      </c>
    </row>
    <row r="13" spans="1:21" ht="15">
      <c r="A13" s="129"/>
      <c r="B13" s="129"/>
      <c r="D13" s="34">
        <f t="shared" si="1"/>
        <v>0</v>
      </c>
      <c r="E13" s="3">
        <f>COUNTIF(Vertices[Degree],"&gt;= "&amp;D13)-COUNTIF(Vertices[Degree],"&gt;="&amp;D14)</f>
        <v>0</v>
      </c>
      <c r="F13" s="41">
        <f t="shared" si="2"/>
        <v>0.4000000000000001</v>
      </c>
      <c r="G13" s="42">
        <f>COUNTIF(Vertices[In-Degree],"&gt;= "&amp;F13)-COUNTIF(Vertices[In-Degree],"&gt;="&amp;F14)</f>
        <v>0</v>
      </c>
      <c r="H13" s="41">
        <f t="shared" si="3"/>
        <v>2.0000000000000004</v>
      </c>
      <c r="I13" s="42">
        <f>COUNTIF(Vertices[Out-Degree],"&gt;= "&amp;H13)-COUNTIF(Vertices[Out-Degree],"&gt;="&amp;H14)</f>
        <v>0</v>
      </c>
      <c r="J13" s="41">
        <f t="shared" si="4"/>
        <v>14.000000000000002</v>
      </c>
      <c r="K13" s="42">
        <f>COUNTIF(Vertices[Betweenness Centrality],"&gt;= "&amp;J13)-COUNTIF(Vertices[Betweenness Centrality],"&gt;="&amp;J14)</f>
        <v>0</v>
      </c>
      <c r="L13" s="41">
        <f t="shared" si="5"/>
        <v>0.24210559999999995</v>
      </c>
      <c r="M13" s="42">
        <f>COUNTIF(Vertices[Closeness Centrality],"&gt;= "&amp;L13)-COUNTIF(Vertices[Closeness Centrality],"&gt;="&amp;L14)</f>
        <v>0</v>
      </c>
      <c r="N13" s="41">
        <f t="shared" si="6"/>
        <v>0.039752599999999985</v>
      </c>
      <c r="O13" s="42">
        <f>COUNTIF(Vertices[Eigenvector Centrality],"&gt;= "&amp;N13)-COUNTIF(Vertices[Eigenvector Centrality],"&gt;="&amp;N14)</f>
        <v>0</v>
      </c>
      <c r="P13" s="41">
        <f t="shared" si="7"/>
        <v>1.0640170000000002</v>
      </c>
      <c r="Q13" s="42">
        <f>COUNTIF(Vertices[PageRank],"&gt;= "&amp;P13)-COUNTIF(Vertices[PageRank],"&gt;="&amp;P14)</f>
        <v>0</v>
      </c>
      <c r="R13" s="41">
        <f t="shared" si="8"/>
        <v>0.20000000000000004</v>
      </c>
      <c r="S13" s="46">
        <f>COUNTIF(Vertices[Clustering Coefficient],"&gt;= "&amp;R13)-COUNTIF(Vertices[Clustering Coefficient],"&gt;="&amp;R14)</f>
        <v>0</v>
      </c>
      <c r="T13" s="41" t="e">
        <f ca="1" t="shared" si="9"/>
        <v>#REF!</v>
      </c>
      <c r="U13" s="42" t="e">
        <f ca="1" t="shared" si="0"/>
        <v>#REF!</v>
      </c>
    </row>
    <row r="14" spans="1:21" ht="15">
      <c r="A14" s="36" t="s">
        <v>151</v>
      </c>
      <c r="B14" s="36">
        <v>0</v>
      </c>
      <c r="D14" s="34">
        <f t="shared" si="1"/>
        <v>0</v>
      </c>
      <c r="E14" s="3">
        <f>COUNTIF(Vertices[Degree],"&gt;= "&amp;D14)-COUNTIF(Vertices[Degree],"&gt;="&amp;D15)</f>
        <v>0</v>
      </c>
      <c r="F14" s="39">
        <f t="shared" si="2"/>
        <v>0.43636363636363645</v>
      </c>
      <c r="G14" s="40">
        <f>COUNTIF(Vertices[In-Degree],"&gt;= "&amp;F14)-COUNTIF(Vertices[In-Degree],"&gt;="&amp;F15)</f>
        <v>0</v>
      </c>
      <c r="H14" s="39">
        <f t="shared" si="3"/>
        <v>2.181818181818182</v>
      </c>
      <c r="I14" s="40">
        <f>COUNTIF(Vertices[Out-Degree],"&gt;= "&amp;H14)-COUNTIF(Vertices[Out-Degree],"&gt;="&amp;H15)</f>
        <v>0</v>
      </c>
      <c r="J14" s="39">
        <f t="shared" si="4"/>
        <v>15.272727272727275</v>
      </c>
      <c r="K14" s="40">
        <f>COUNTIF(Vertices[Betweenness Centrality],"&gt;= "&amp;J14)-COUNTIF(Vertices[Betweenness Centrality],"&gt;="&amp;J15)</f>
        <v>0</v>
      </c>
      <c r="L14" s="39">
        <f t="shared" si="5"/>
        <v>0.25933047272727267</v>
      </c>
      <c r="M14" s="40">
        <f>COUNTIF(Vertices[Closeness Centrality],"&gt;= "&amp;L14)-COUNTIF(Vertices[Closeness Centrality],"&gt;="&amp;L15)</f>
        <v>0</v>
      </c>
      <c r="N14" s="39">
        <f t="shared" si="6"/>
        <v>0.04336647272727271</v>
      </c>
      <c r="O14" s="40">
        <f>COUNTIF(Vertices[Eigenvector Centrality],"&gt;= "&amp;N14)-COUNTIF(Vertices[Eigenvector Centrality],"&gt;="&amp;N15)</f>
        <v>0</v>
      </c>
      <c r="P14" s="39">
        <f t="shared" si="7"/>
        <v>1.1198906363636365</v>
      </c>
      <c r="Q14" s="40">
        <f>COUNTIF(Vertices[PageRank],"&gt;= "&amp;P14)-COUNTIF(Vertices[PageRank],"&gt;="&amp;P15)</f>
        <v>0</v>
      </c>
      <c r="R14" s="39">
        <f t="shared" si="8"/>
        <v>0.21818181818181823</v>
      </c>
      <c r="S14" s="45">
        <f>COUNTIF(Vertices[Clustering Coefficient],"&gt;= "&amp;R14)-COUNTIF(Vertices[Clustering Coefficient],"&gt;="&amp;R15)</f>
        <v>0</v>
      </c>
      <c r="T14" s="39" t="e">
        <f ca="1" t="shared" si="9"/>
        <v>#REF!</v>
      </c>
      <c r="U14" s="40" t="e">
        <f ca="1" t="shared" si="0"/>
        <v>#REF!</v>
      </c>
    </row>
    <row r="15" spans="1:21" ht="15">
      <c r="A15" s="129"/>
      <c r="B15" s="129"/>
      <c r="D15" s="34">
        <f t="shared" si="1"/>
        <v>0</v>
      </c>
      <c r="E15" s="3">
        <f>COUNTIF(Vertices[Degree],"&gt;= "&amp;D15)-COUNTIF(Vertices[Degree],"&gt;="&amp;D16)</f>
        <v>0</v>
      </c>
      <c r="F15" s="41">
        <f t="shared" si="2"/>
        <v>0.47272727272727283</v>
      </c>
      <c r="G15" s="42">
        <f>COUNTIF(Vertices[In-Degree],"&gt;= "&amp;F15)-COUNTIF(Vertices[In-Degree],"&gt;="&amp;F16)</f>
        <v>0</v>
      </c>
      <c r="H15" s="41">
        <f t="shared" si="3"/>
        <v>2.3636363636363638</v>
      </c>
      <c r="I15" s="42">
        <f>COUNTIF(Vertices[Out-Degree],"&gt;= "&amp;H15)-COUNTIF(Vertices[Out-Degree],"&gt;="&amp;H16)</f>
        <v>0</v>
      </c>
      <c r="J15" s="41">
        <f t="shared" si="4"/>
        <v>16.545454545454547</v>
      </c>
      <c r="K15" s="42">
        <f>COUNTIF(Vertices[Betweenness Centrality],"&gt;= "&amp;J15)-COUNTIF(Vertices[Betweenness Centrality],"&gt;="&amp;J16)</f>
        <v>0</v>
      </c>
      <c r="L15" s="41">
        <f t="shared" si="5"/>
        <v>0.2765553454545454</v>
      </c>
      <c r="M15" s="42">
        <f>COUNTIF(Vertices[Closeness Centrality],"&gt;= "&amp;L15)-COUNTIF(Vertices[Closeness Centrality],"&gt;="&amp;L16)</f>
        <v>0</v>
      </c>
      <c r="N15" s="41">
        <f t="shared" si="6"/>
        <v>0.046980345454545436</v>
      </c>
      <c r="O15" s="42">
        <f>COUNTIF(Vertices[Eigenvector Centrality],"&gt;= "&amp;N15)-COUNTIF(Vertices[Eigenvector Centrality],"&gt;="&amp;N16)</f>
        <v>4</v>
      </c>
      <c r="P15" s="41">
        <f t="shared" si="7"/>
        <v>1.1757642727272728</v>
      </c>
      <c r="Q15" s="42">
        <f>COUNTIF(Vertices[PageRank],"&gt;= "&amp;P15)-COUNTIF(Vertices[PageRank],"&gt;="&amp;P16)</f>
        <v>0</v>
      </c>
      <c r="R15" s="41">
        <f t="shared" si="8"/>
        <v>0.23636363636363641</v>
      </c>
      <c r="S15" s="46">
        <f>COUNTIF(Vertices[Clustering Coefficient],"&gt;= "&amp;R15)-COUNTIF(Vertices[Clustering Coefficient],"&gt;="&amp;R16)</f>
        <v>0</v>
      </c>
      <c r="T15" s="41" t="e">
        <f ca="1" t="shared" si="9"/>
        <v>#REF!</v>
      </c>
      <c r="U15" s="42" t="e">
        <f ca="1" t="shared" si="0"/>
        <v>#REF!</v>
      </c>
    </row>
    <row r="16" spans="1:21" ht="15">
      <c r="A16" s="36" t="s">
        <v>170</v>
      </c>
      <c r="B16" s="36">
        <v>0.0625</v>
      </c>
      <c r="D16" s="34">
        <f t="shared" si="1"/>
        <v>0</v>
      </c>
      <c r="E16" s="3">
        <f>COUNTIF(Vertices[Degree],"&gt;= "&amp;D16)-COUNTIF(Vertices[Degree],"&gt;="&amp;D17)</f>
        <v>0</v>
      </c>
      <c r="F16" s="39">
        <f t="shared" si="2"/>
        <v>0.5090909090909091</v>
      </c>
      <c r="G16" s="40">
        <f>COUNTIF(Vertices[In-Degree],"&gt;= "&amp;F16)-COUNTIF(Vertices[In-Degree],"&gt;="&amp;F17)</f>
        <v>0</v>
      </c>
      <c r="H16" s="39">
        <f t="shared" si="3"/>
        <v>2.5454545454545454</v>
      </c>
      <c r="I16" s="40">
        <f>COUNTIF(Vertices[Out-Degree],"&gt;= "&amp;H16)-COUNTIF(Vertices[Out-Degree],"&gt;="&amp;H17)</f>
        <v>0</v>
      </c>
      <c r="J16" s="39">
        <f t="shared" si="4"/>
        <v>17.81818181818182</v>
      </c>
      <c r="K16" s="40">
        <f>COUNTIF(Vertices[Betweenness Centrality],"&gt;= "&amp;J16)-COUNTIF(Vertices[Betweenness Centrality],"&gt;="&amp;J17)</f>
        <v>0</v>
      </c>
      <c r="L16" s="39">
        <f t="shared" si="5"/>
        <v>0.29378021818181815</v>
      </c>
      <c r="M16" s="40">
        <f>COUNTIF(Vertices[Closeness Centrality],"&gt;= "&amp;L16)-COUNTIF(Vertices[Closeness Centrality],"&gt;="&amp;L17)</f>
        <v>0</v>
      </c>
      <c r="N16" s="39">
        <f t="shared" si="6"/>
        <v>0.05059421818181816</v>
      </c>
      <c r="O16" s="40">
        <f>COUNTIF(Vertices[Eigenvector Centrality],"&gt;= "&amp;N16)-COUNTIF(Vertices[Eigenvector Centrality],"&gt;="&amp;N17)</f>
        <v>0</v>
      </c>
      <c r="P16" s="39">
        <f t="shared" si="7"/>
        <v>1.231637909090909</v>
      </c>
      <c r="Q16" s="40">
        <f>COUNTIF(Vertices[PageRank],"&gt;= "&amp;P16)-COUNTIF(Vertices[PageRank],"&gt;="&amp;P17)</f>
        <v>0</v>
      </c>
      <c r="R16" s="39">
        <f t="shared" si="8"/>
        <v>0.2545454545454546</v>
      </c>
      <c r="S16" s="45">
        <f>COUNTIF(Vertices[Clustering Coefficient],"&gt;= "&amp;R16)-COUNTIF(Vertices[Clustering Coefficient],"&gt;="&amp;R17)</f>
        <v>0</v>
      </c>
      <c r="T16" s="39" t="e">
        <f ca="1" t="shared" si="9"/>
        <v>#REF!</v>
      </c>
      <c r="U16" s="40" t="e">
        <f ca="1" t="shared" si="0"/>
        <v>#REF!</v>
      </c>
    </row>
    <row r="17" spans="1:21" ht="15">
      <c r="A17" s="36" t="s">
        <v>171</v>
      </c>
      <c r="B17" s="36">
        <v>0.11764705882352941</v>
      </c>
      <c r="D17" s="34">
        <f t="shared" si="1"/>
        <v>0</v>
      </c>
      <c r="E17" s="3">
        <f>COUNTIF(Vertices[Degree],"&gt;= "&amp;D17)-COUNTIF(Vertices[Degree],"&gt;="&amp;D18)</f>
        <v>0</v>
      </c>
      <c r="F17" s="41">
        <f t="shared" si="2"/>
        <v>0.5454545454545455</v>
      </c>
      <c r="G17" s="42">
        <f>COUNTIF(Vertices[In-Degree],"&gt;= "&amp;F17)-COUNTIF(Vertices[In-Degree],"&gt;="&amp;F18)</f>
        <v>0</v>
      </c>
      <c r="H17" s="41">
        <f t="shared" si="3"/>
        <v>2.727272727272727</v>
      </c>
      <c r="I17" s="42">
        <f>COUNTIF(Vertices[Out-Degree],"&gt;= "&amp;H17)-COUNTIF(Vertices[Out-Degree],"&gt;="&amp;H18)</f>
        <v>0</v>
      </c>
      <c r="J17" s="41">
        <f t="shared" si="4"/>
        <v>19.090909090909093</v>
      </c>
      <c r="K17" s="42">
        <f>COUNTIF(Vertices[Betweenness Centrality],"&gt;= "&amp;J17)-COUNTIF(Vertices[Betweenness Centrality],"&gt;="&amp;J18)</f>
        <v>0</v>
      </c>
      <c r="L17" s="41">
        <f t="shared" si="5"/>
        <v>0.3110050909090909</v>
      </c>
      <c r="M17" s="42">
        <f>COUNTIF(Vertices[Closeness Centrality],"&gt;= "&amp;L17)-COUNTIF(Vertices[Closeness Centrality],"&gt;="&amp;L18)</f>
        <v>0</v>
      </c>
      <c r="N17" s="41">
        <f t="shared" si="6"/>
        <v>0.054208090909090886</v>
      </c>
      <c r="O17" s="42">
        <f>COUNTIF(Vertices[Eigenvector Centrality],"&gt;= "&amp;N17)-COUNTIF(Vertices[Eigenvector Centrality],"&gt;="&amp;N18)</f>
        <v>0</v>
      </c>
      <c r="P17" s="41">
        <f t="shared" si="7"/>
        <v>1.2875115454545454</v>
      </c>
      <c r="Q17" s="42">
        <f>COUNTIF(Vertices[PageRank],"&gt;= "&amp;P17)-COUNTIF(Vertices[PageRank],"&gt;="&amp;P18)</f>
        <v>0</v>
      </c>
      <c r="R17" s="41">
        <f t="shared" si="8"/>
        <v>0.27272727272727276</v>
      </c>
      <c r="S17" s="46">
        <f>COUNTIF(Vertices[Clustering Coefficient],"&gt;= "&amp;R17)-COUNTIF(Vertices[Clustering Coefficient],"&gt;="&amp;R18)</f>
        <v>0</v>
      </c>
      <c r="T17" s="41" t="e">
        <f ca="1" t="shared" si="9"/>
        <v>#REF!</v>
      </c>
      <c r="U17" s="42" t="e">
        <f ca="1" t="shared" si="0"/>
        <v>#REF!</v>
      </c>
    </row>
    <row r="18" spans="1:21" ht="15">
      <c r="A18" s="129"/>
      <c r="B18" s="129"/>
      <c r="D18" s="34">
        <f t="shared" si="1"/>
        <v>0</v>
      </c>
      <c r="E18" s="3">
        <f>COUNTIF(Vertices[Degree],"&gt;= "&amp;D18)-COUNTIF(Vertices[Degree],"&gt;="&amp;D19)</f>
        <v>0</v>
      </c>
      <c r="F18" s="39">
        <f t="shared" si="2"/>
        <v>0.5818181818181819</v>
      </c>
      <c r="G18" s="40">
        <f>COUNTIF(Vertices[In-Degree],"&gt;= "&amp;F18)-COUNTIF(Vertices[In-Degree],"&gt;="&amp;F19)</f>
        <v>0</v>
      </c>
      <c r="H18" s="39">
        <f t="shared" si="3"/>
        <v>2.9090909090909087</v>
      </c>
      <c r="I18" s="40">
        <f>COUNTIF(Vertices[Out-Degree],"&gt;= "&amp;H18)-COUNTIF(Vertices[Out-Degree],"&gt;="&amp;H19)</f>
        <v>0</v>
      </c>
      <c r="J18" s="39">
        <f t="shared" si="4"/>
        <v>20.363636363636367</v>
      </c>
      <c r="K18" s="40">
        <f>COUNTIF(Vertices[Betweenness Centrality],"&gt;= "&amp;J18)-COUNTIF(Vertices[Betweenness Centrality],"&gt;="&amp;J19)</f>
        <v>0</v>
      </c>
      <c r="L18" s="39">
        <f t="shared" si="5"/>
        <v>0.32822996363636364</v>
      </c>
      <c r="M18" s="40">
        <f>COUNTIF(Vertices[Closeness Centrality],"&gt;= "&amp;L18)-COUNTIF(Vertices[Closeness Centrality],"&gt;="&amp;L19)</f>
        <v>0</v>
      </c>
      <c r="N18" s="39">
        <f t="shared" si="6"/>
        <v>0.05782196363636361</v>
      </c>
      <c r="O18" s="40">
        <f>COUNTIF(Vertices[Eigenvector Centrality],"&gt;= "&amp;N18)-COUNTIF(Vertices[Eigenvector Centrality],"&gt;="&amp;N19)</f>
        <v>0</v>
      </c>
      <c r="P18" s="39">
        <f t="shared" si="7"/>
        <v>1.3433851818181817</v>
      </c>
      <c r="Q18" s="40">
        <f>COUNTIF(Vertices[PageRank],"&gt;= "&amp;P18)-COUNTIF(Vertices[PageRank],"&gt;="&amp;P19)</f>
        <v>0</v>
      </c>
      <c r="R18" s="39">
        <f t="shared" si="8"/>
        <v>0.29090909090909095</v>
      </c>
      <c r="S18" s="45">
        <f>COUNTIF(Vertices[Clustering Coefficient],"&gt;= "&amp;R18)-COUNTIF(Vertices[Clustering Coefficient],"&gt;="&amp;R19)</f>
        <v>0</v>
      </c>
      <c r="T18" s="39" t="e">
        <f ca="1" t="shared" si="9"/>
        <v>#REF!</v>
      </c>
      <c r="U18" s="40" t="e">
        <f ca="1" t="shared" si="0"/>
        <v>#REF!</v>
      </c>
    </row>
    <row r="19" spans="1:21" ht="15">
      <c r="A19" s="36" t="s">
        <v>152</v>
      </c>
      <c r="B19" s="36">
        <v>2</v>
      </c>
      <c r="D19" s="34">
        <f t="shared" si="1"/>
        <v>0</v>
      </c>
      <c r="E19" s="3">
        <f>COUNTIF(Vertices[Degree],"&gt;= "&amp;D19)-COUNTIF(Vertices[Degree],"&gt;="&amp;D20)</f>
        <v>0</v>
      </c>
      <c r="F19" s="41">
        <f t="shared" si="2"/>
        <v>0.6181818181818183</v>
      </c>
      <c r="G19" s="42">
        <f>COUNTIF(Vertices[In-Degree],"&gt;= "&amp;F19)-COUNTIF(Vertices[In-Degree],"&gt;="&amp;F20)</f>
        <v>0</v>
      </c>
      <c r="H19" s="41">
        <f t="shared" si="3"/>
        <v>3.0909090909090904</v>
      </c>
      <c r="I19" s="42">
        <f>COUNTIF(Vertices[Out-Degree],"&gt;= "&amp;H19)-COUNTIF(Vertices[Out-Degree],"&gt;="&amp;H20)</f>
        <v>0</v>
      </c>
      <c r="J19" s="41">
        <f t="shared" si="4"/>
        <v>21.63636363636364</v>
      </c>
      <c r="K19" s="42">
        <f>COUNTIF(Vertices[Betweenness Centrality],"&gt;= "&amp;J19)-COUNTIF(Vertices[Betweenness Centrality],"&gt;="&amp;J20)</f>
        <v>0</v>
      </c>
      <c r="L19" s="41">
        <f t="shared" si="5"/>
        <v>0.3454548363636364</v>
      </c>
      <c r="M19" s="42">
        <f>COUNTIF(Vertices[Closeness Centrality],"&gt;= "&amp;L19)-COUNTIF(Vertices[Closeness Centrality],"&gt;="&amp;L20)</f>
        <v>0</v>
      </c>
      <c r="N19" s="41">
        <f t="shared" si="6"/>
        <v>0.06143583636363634</v>
      </c>
      <c r="O19" s="42">
        <f>COUNTIF(Vertices[Eigenvector Centrality],"&gt;= "&amp;N19)-COUNTIF(Vertices[Eigenvector Centrality],"&gt;="&amp;N20)</f>
        <v>0</v>
      </c>
      <c r="P19" s="41">
        <f t="shared" si="7"/>
        <v>1.399258818181818</v>
      </c>
      <c r="Q19" s="42">
        <f>COUNTIF(Vertices[PageRank],"&gt;= "&amp;P19)-COUNTIF(Vertices[PageRank],"&gt;="&amp;P20)</f>
        <v>0</v>
      </c>
      <c r="R19" s="41">
        <f t="shared" si="8"/>
        <v>0.30909090909090914</v>
      </c>
      <c r="S19" s="46">
        <f>COUNTIF(Vertices[Clustering Coefficient],"&gt;= "&amp;R19)-COUNTIF(Vertices[Clustering Coefficient],"&gt;="&amp;R20)</f>
        <v>0</v>
      </c>
      <c r="T19" s="41" t="e">
        <f ca="1" t="shared" si="9"/>
        <v>#REF!</v>
      </c>
      <c r="U19" s="42" t="e">
        <f ca="1" t="shared" si="0"/>
        <v>#REF!</v>
      </c>
    </row>
    <row r="20" spans="1:21" ht="15">
      <c r="A20" s="36" t="s">
        <v>153</v>
      </c>
      <c r="B20" s="36">
        <v>0</v>
      </c>
      <c r="D20" s="34">
        <f t="shared" si="1"/>
        <v>0</v>
      </c>
      <c r="E20" s="3">
        <f>COUNTIF(Vertices[Degree],"&gt;= "&amp;D20)-COUNTIF(Vertices[Degree],"&gt;="&amp;D21)</f>
        <v>0</v>
      </c>
      <c r="F20" s="39">
        <f t="shared" si="2"/>
        <v>0.6545454545454547</v>
      </c>
      <c r="G20" s="40">
        <f>COUNTIF(Vertices[In-Degree],"&gt;= "&amp;F20)-COUNTIF(Vertices[In-Degree],"&gt;="&amp;F21)</f>
        <v>0</v>
      </c>
      <c r="H20" s="39">
        <f t="shared" si="3"/>
        <v>3.272727272727272</v>
      </c>
      <c r="I20" s="40">
        <f>COUNTIF(Vertices[Out-Degree],"&gt;= "&amp;H20)-COUNTIF(Vertices[Out-Degree],"&gt;="&amp;H21)</f>
        <v>0</v>
      </c>
      <c r="J20" s="39">
        <f t="shared" si="4"/>
        <v>22.909090909090914</v>
      </c>
      <c r="K20" s="40">
        <f>COUNTIF(Vertices[Betweenness Centrality],"&gt;= "&amp;J20)-COUNTIF(Vertices[Betweenness Centrality],"&gt;="&amp;J21)</f>
        <v>0</v>
      </c>
      <c r="L20" s="39">
        <f t="shared" si="5"/>
        <v>0.36267970909090913</v>
      </c>
      <c r="M20" s="40">
        <f>COUNTIF(Vertices[Closeness Centrality],"&gt;= "&amp;L20)-COUNTIF(Vertices[Closeness Centrality],"&gt;="&amp;L21)</f>
        <v>0</v>
      </c>
      <c r="N20" s="39">
        <f t="shared" si="6"/>
        <v>0.06504970909090907</v>
      </c>
      <c r="O20" s="40">
        <f>COUNTIF(Vertices[Eigenvector Centrality],"&gt;= "&amp;N20)-COUNTIF(Vertices[Eigenvector Centrality],"&gt;="&amp;N21)</f>
        <v>0</v>
      </c>
      <c r="P20" s="39">
        <f t="shared" si="7"/>
        <v>1.4551324545454543</v>
      </c>
      <c r="Q20" s="40">
        <f>COUNTIF(Vertices[PageRank],"&gt;= "&amp;P20)-COUNTIF(Vertices[PageRank],"&gt;="&amp;P21)</f>
        <v>0</v>
      </c>
      <c r="R20" s="39">
        <f t="shared" si="8"/>
        <v>0.3272727272727273</v>
      </c>
      <c r="S20" s="45">
        <f>COUNTIF(Vertices[Clustering Coefficient],"&gt;= "&amp;R20)-COUNTIF(Vertices[Clustering Coefficient],"&gt;="&amp;R21)</f>
        <v>0</v>
      </c>
      <c r="T20" s="39" t="e">
        <f ca="1" t="shared" si="9"/>
        <v>#REF!</v>
      </c>
      <c r="U20" s="40" t="e">
        <f ca="1" t="shared" si="0"/>
        <v>#REF!</v>
      </c>
    </row>
    <row r="21" spans="1:21" ht="15">
      <c r="A21" s="36" t="s">
        <v>154</v>
      </c>
      <c r="B21" s="36">
        <v>11</v>
      </c>
      <c r="D21" s="34">
        <f t="shared" si="1"/>
        <v>0</v>
      </c>
      <c r="E21" s="3">
        <f>COUNTIF(Vertices[Degree],"&gt;= "&amp;D21)-COUNTIF(Vertices[Degree],"&gt;="&amp;D22)</f>
        <v>0</v>
      </c>
      <c r="F21" s="41">
        <f t="shared" si="2"/>
        <v>0.690909090909091</v>
      </c>
      <c r="G21" s="42">
        <f>COUNTIF(Vertices[In-Degree],"&gt;= "&amp;F21)-COUNTIF(Vertices[In-Degree],"&gt;="&amp;F22)</f>
        <v>0</v>
      </c>
      <c r="H21" s="41">
        <f t="shared" si="3"/>
        <v>3.4545454545454537</v>
      </c>
      <c r="I21" s="42">
        <f>COUNTIF(Vertices[Out-Degree],"&gt;= "&amp;H21)-COUNTIF(Vertices[Out-Degree],"&gt;="&amp;H22)</f>
        <v>0</v>
      </c>
      <c r="J21" s="41">
        <f t="shared" si="4"/>
        <v>24.181818181818187</v>
      </c>
      <c r="K21" s="42">
        <f>COUNTIF(Vertices[Betweenness Centrality],"&gt;= "&amp;J21)-COUNTIF(Vertices[Betweenness Centrality],"&gt;="&amp;J22)</f>
        <v>0</v>
      </c>
      <c r="L21" s="41">
        <f t="shared" si="5"/>
        <v>0.3799045818181819</v>
      </c>
      <c r="M21" s="42">
        <f>COUNTIF(Vertices[Closeness Centrality],"&gt;= "&amp;L21)-COUNTIF(Vertices[Closeness Centrality],"&gt;="&amp;L22)</f>
        <v>0</v>
      </c>
      <c r="N21" s="41">
        <f t="shared" si="6"/>
        <v>0.0686635818181818</v>
      </c>
      <c r="O21" s="42">
        <f>COUNTIF(Vertices[Eigenvector Centrality],"&gt;= "&amp;N21)-COUNTIF(Vertices[Eigenvector Centrality],"&gt;="&amp;N22)</f>
        <v>0</v>
      </c>
      <c r="P21" s="41">
        <f t="shared" si="7"/>
        <v>1.5110060909090905</v>
      </c>
      <c r="Q21" s="42">
        <f>COUNTIF(Vertices[PageRank],"&gt;= "&amp;P21)-COUNTIF(Vertices[PageRank],"&gt;="&amp;P22)</f>
        <v>0</v>
      </c>
      <c r="R21" s="41">
        <f t="shared" si="8"/>
        <v>0.3454545454545455</v>
      </c>
      <c r="S21" s="46">
        <f>COUNTIF(Vertices[Clustering Coefficient],"&gt;= "&amp;R21)-COUNTIF(Vertices[Clustering Coefficient],"&gt;="&amp;R22)</f>
        <v>0</v>
      </c>
      <c r="T21" s="41" t="e">
        <f ca="1" t="shared" si="9"/>
        <v>#REF!</v>
      </c>
      <c r="U21" s="42" t="e">
        <f ca="1" t="shared" si="0"/>
        <v>#REF!</v>
      </c>
    </row>
    <row r="22" spans="1:21" ht="15">
      <c r="A22" s="36" t="s">
        <v>155</v>
      </c>
      <c r="B22" s="36">
        <v>22</v>
      </c>
      <c r="D22" s="34">
        <f t="shared" si="1"/>
        <v>0</v>
      </c>
      <c r="E22" s="3">
        <f>COUNTIF(Vertices[Degree],"&gt;= "&amp;D22)-COUNTIF(Vertices[Degree],"&gt;="&amp;D23)</f>
        <v>0</v>
      </c>
      <c r="F22" s="39">
        <f t="shared" si="2"/>
        <v>0.7272727272727274</v>
      </c>
      <c r="G22" s="40">
        <f>COUNTIF(Vertices[In-Degree],"&gt;= "&amp;F22)-COUNTIF(Vertices[In-Degree],"&gt;="&amp;F23)</f>
        <v>0</v>
      </c>
      <c r="H22" s="39">
        <f t="shared" si="3"/>
        <v>3.6363636363636354</v>
      </c>
      <c r="I22" s="40">
        <f>COUNTIF(Vertices[Out-Degree],"&gt;= "&amp;H22)-COUNTIF(Vertices[Out-Degree],"&gt;="&amp;H23)</f>
        <v>0</v>
      </c>
      <c r="J22" s="39">
        <f t="shared" si="4"/>
        <v>25.45454545454546</v>
      </c>
      <c r="K22" s="40">
        <f>COUNTIF(Vertices[Betweenness Centrality],"&gt;= "&amp;J22)-COUNTIF(Vertices[Betweenness Centrality],"&gt;="&amp;J23)</f>
        <v>0</v>
      </c>
      <c r="L22" s="39">
        <f t="shared" si="5"/>
        <v>0.3971294545454546</v>
      </c>
      <c r="M22" s="40">
        <f>COUNTIF(Vertices[Closeness Centrality],"&gt;= "&amp;L22)-COUNTIF(Vertices[Closeness Centrality],"&gt;="&amp;L23)</f>
        <v>0</v>
      </c>
      <c r="N22" s="39">
        <f t="shared" si="6"/>
        <v>0.07227745454545453</v>
      </c>
      <c r="O22" s="40">
        <f>COUNTIF(Vertices[Eigenvector Centrality],"&gt;= "&amp;N22)-COUNTIF(Vertices[Eigenvector Centrality],"&gt;="&amp;N23)</f>
        <v>0</v>
      </c>
      <c r="P22" s="39">
        <f t="shared" si="7"/>
        <v>1.5668797272727268</v>
      </c>
      <c r="Q22" s="40">
        <f>COUNTIF(Vertices[PageRank],"&gt;= "&amp;P22)-COUNTIF(Vertices[PageRank],"&gt;="&amp;P23)</f>
        <v>0</v>
      </c>
      <c r="R22" s="39">
        <f t="shared" si="8"/>
        <v>0.3636363636363637</v>
      </c>
      <c r="S22" s="45">
        <f>COUNTIF(Vertices[Clustering Coefficient],"&gt;= "&amp;R22)-COUNTIF(Vertices[Clustering Coefficient],"&gt;="&amp;R23)</f>
        <v>0</v>
      </c>
      <c r="T22" s="39" t="e">
        <f ca="1" t="shared" si="9"/>
        <v>#REF!</v>
      </c>
      <c r="U22" s="40" t="e">
        <f ca="1" t="shared" si="0"/>
        <v>#REF!</v>
      </c>
    </row>
    <row r="23" spans="1:21" ht="15">
      <c r="A23" s="129"/>
      <c r="B23" s="129"/>
      <c r="D23" s="34">
        <f t="shared" si="1"/>
        <v>0</v>
      </c>
      <c r="E23" s="3">
        <f>COUNTIF(Vertices[Degree],"&gt;= "&amp;D23)-COUNTIF(Vertices[Degree],"&gt;="&amp;D24)</f>
        <v>0</v>
      </c>
      <c r="F23" s="41">
        <f t="shared" si="2"/>
        <v>0.7636363636363638</v>
      </c>
      <c r="G23" s="42">
        <f>COUNTIF(Vertices[In-Degree],"&gt;= "&amp;F23)-COUNTIF(Vertices[In-Degree],"&gt;="&amp;F24)</f>
        <v>0</v>
      </c>
      <c r="H23" s="41">
        <f t="shared" si="3"/>
        <v>3.818181818181817</v>
      </c>
      <c r="I23" s="42">
        <f>COUNTIF(Vertices[Out-Degree],"&gt;= "&amp;H23)-COUNTIF(Vertices[Out-Degree],"&gt;="&amp;H24)</f>
        <v>0</v>
      </c>
      <c r="J23" s="41">
        <f t="shared" si="4"/>
        <v>26.727272727272734</v>
      </c>
      <c r="K23" s="42">
        <f>COUNTIF(Vertices[Betweenness Centrality],"&gt;= "&amp;J23)-COUNTIF(Vertices[Betweenness Centrality],"&gt;="&amp;J24)</f>
        <v>0</v>
      </c>
      <c r="L23" s="41">
        <f t="shared" si="5"/>
        <v>0.41435432727272736</v>
      </c>
      <c r="M23" s="42">
        <f>COUNTIF(Vertices[Closeness Centrality],"&gt;= "&amp;L23)-COUNTIF(Vertices[Closeness Centrality],"&gt;="&amp;L24)</f>
        <v>0</v>
      </c>
      <c r="N23" s="41">
        <f t="shared" si="6"/>
        <v>0.07589132727272727</v>
      </c>
      <c r="O23" s="42">
        <f>COUNTIF(Vertices[Eigenvector Centrality],"&gt;= "&amp;N23)-COUNTIF(Vertices[Eigenvector Centrality],"&gt;="&amp;N24)</f>
        <v>0</v>
      </c>
      <c r="P23" s="41">
        <f t="shared" si="7"/>
        <v>1.6227533636363631</v>
      </c>
      <c r="Q23" s="42">
        <f>COUNTIF(Vertices[PageRank],"&gt;= "&amp;P23)-COUNTIF(Vertices[PageRank],"&gt;="&amp;P24)</f>
        <v>0</v>
      </c>
      <c r="R23" s="41">
        <f t="shared" si="8"/>
        <v>0.3818181818181819</v>
      </c>
      <c r="S23" s="46">
        <f>COUNTIF(Vertices[Clustering Coefficient],"&gt;= "&amp;R23)-COUNTIF(Vertices[Clustering Coefficient],"&gt;="&amp;R24)</f>
        <v>0</v>
      </c>
      <c r="T23" s="41" t="e">
        <f ca="1" t="shared" si="9"/>
        <v>#REF!</v>
      </c>
      <c r="U23" s="42" t="e">
        <f ca="1" t="shared" si="0"/>
        <v>#REF!</v>
      </c>
    </row>
    <row r="24" spans="1:21" ht="15">
      <c r="A24" s="36" t="s">
        <v>156</v>
      </c>
      <c r="B24" s="36">
        <v>2</v>
      </c>
      <c r="D24" s="34">
        <f t="shared" si="1"/>
        <v>0</v>
      </c>
      <c r="E24" s="3">
        <f>COUNTIF(Vertices[Degree],"&gt;= "&amp;D24)-COUNTIF(Vertices[Degree],"&gt;="&amp;D25)</f>
        <v>0</v>
      </c>
      <c r="F24" s="39">
        <f t="shared" si="2"/>
        <v>0.8000000000000002</v>
      </c>
      <c r="G24" s="40">
        <f>COUNTIF(Vertices[In-Degree],"&gt;= "&amp;F24)-COUNTIF(Vertices[In-Degree],"&gt;="&amp;F25)</f>
        <v>0</v>
      </c>
      <c r="H24" s="39">
        <f t="shared" si="3"/>
        <v>3.9999999999999987</v>
      </c>
      <c r="I24" s="40">
        <f>COUNTIF(Vertices[Out-Degree],"&gt;= "&amp;H24)-COUNTIF(Vertices[Out-Degree],"&gt;="&amp;H25)</f>
        <v>0</v>
      </c>
      <c r="J24" s="39">
        <f t="shared" si="4"/>
        <v>28.000000000000007</v>
      </c>
      <c r="K24" s="40">
        <f>COUNTIF(Vertices[Betweenness Centrality],"&gt;= "&amp;J24)-COUNTIF(Vertices[Betweenness Centrality],"&gt;="&amp;J25)</f>
        <v>0</v>
      </c>
      <c r="L24" s="39">
        <f t="shared" si="5"/>
        <v>0.4315792000000001</v>
      </c>
      <c r="M24" s="40">
        <f>COUNTIF(Vertices[Closeness Centrality],"&gt;= "&amp;L24)-COUNTIF(Vertices[Closeness Centrality],"&gt;="&amp;L25)</f>
        <v>0</v>
      </c>
      <c r="N24" s="39">
        <f t="shared" si="6"/>
        <v>0.0795052</v>
      </c>
      <c r="O24" s="40">
        <f>COUNTIF(Vertices[Eigenvector Centrality],"&gt;= "&amp;N24)-COUNTIF(Vertices[Eigenvector Centrality],"&gt;="&amp;N25)</f>
        <v>0</v>
      </c>
      <c r="P24" s="39">
        <f t="shared" si="7"/>
        <v>1.6786269999999994</v>
      </c>
      <c r="Q24" s="40">
        <f>COUNTIF(Vertices[PageRank],"&gt;= "&amp;P24)-COUNTIF(Vertices[PageRank],"&gt;="&amp;P25)</f>
        <v>0</v>
      </c>
      <c r="R24" s="39">
        <f t="shared" si="8"/>
        <v>0.4000000000000001</v>
      </c>
      <c r="S24" s="45">
        <f>COUNTIF(Vertices[Clustering Coefficient],"&gt;= "&amp;R24)-COUNTIF(Vertices[Clustering Coefficient],"&gt;="&amp;R25)</f>
        <v>0</v>
      </c>
      <c r="T24" s="39" t="e">
        <f ca="1" t="shared" si="9"/>
        <v>#REF!</v>
      </c>
      <c r="U24" s="40" t="e">
        <f ca="1" t="shared" si="0"/>
        <v>#REF!</v>
      </c>
    </row>
    <row r="25" spans="1:21" ht="15">
      <c r="A25" s="36" t="s">
        <v>157</v>
      </c>
      <c r="B25" s="36">
        <v>1.536</v>
      </c>
      <c r="D25" s="34">
        <f t="shared" si="1"/>
        <v>0</v>
      </c>
      <c r="E25" s="3">
        <f>COUNTIF(Vertices[Degree],"&gt;= "&amp;D25)-COUNTIF(Vertices[Degree],"&gt;="&amp;D26)</f>
        <v>0</v>
      </c>
      <c r="F25" s="41">
        <f t="shared" si="2"/>
        <v>0.8363636363636365</v>
      </c>
      <c r="G25" s="42">
        <f>COUNTIF(Vertices[In-Degree],"&gt;= "&amp;F25)-COUNTIF(Vertices[In-Degree],"&gt;="&amp;F26)</f>
        <v>0</v>
      </c>
      <c r="H25" s="41">
        <f t="shared" si="3"/>
        <v>4.181818181818181</v>
      </c>
      <c r="I25" s="42">
        <f>COUNTIF(Vertices[Out-Degree],"&gt;= "&amp;H25)-COUNTIF(Vertices[Out-Degree],"&gt;="&amp;H26)</f>
        <v>0</v>
      </c>
      <c r="J25" s="41">
        <f t="shared" si="4"/>
        <v>29.27272727272728</v>
      </c>
      <c r="K25" s="42">
        <f>COUNTIF(Vertices[Betweenness Centrality],"&gt;= "&amp;J25)-COUNTIF(Vertices[Betweenness Centrality],"&gt;="&amp;J26)</f>
        <v>0</v>
      </c>
      <c r="L25" s="41">
        <f t="shared" si="5"/>
        <v>0.44880407272727285</v>
      </c>
      <c r="M25" s="42">
        <f>COUNTIF(Vertices[Closeness Centrality],"&gt;= "&amp;L25)-COUNTIF(Vertices[Closeness Centrality],"&gt;="&amp;L26)</f>
        <v>0</v>
      </c>
      <c r="N25" s="41">
        <f t="shared" si="6"/>
        <v>0.08311907272727273</v>
      </c>
      <c r="O25" s="42">
        <f>COUNTIF(Vertices[Eigenvector Centrality],"&gt;= "&amp;N25)-COUNTIF(Vertices[Eigenvector Centrality],"&gt;="&amp;N26)</f>
        <v>0</v>
      </c>
      <c r="P25" s="41">
        <f t="shared" si="7"/>
        <v>1.7345006363636357</v>
      </c>
      <c r="Q25" s="42">
        <f>COUNTIF(Vertices[PageRank],"&gt;= "&amp;P25)-COUNTIF(Vertices[PageRank],"&gt;="&amp;P26)</f>
        <v>0</v>
      </c>
      <c r="R25" s="41">
        <f t="shared" si="8"/>
        <v>0.41818181818181827</v>
      </c>
      <c r="S25" s="46">
        <f>COUNTIF(Vertices[Clustering Coefficient],"&gt;= "&amp;R25)-COUNTIF(Vertices[Clustering Coefficient],"&gt;="&amp;R26)</f>
        <v>0</v>
      </c>
      <c r="T25" s="41" t="e">
        <f ca="1" t="shared" si="9"/>
        <v>#REF!</v>
      </c>
      <c r="U25" s="42" t="e">
        <f ca="1" t="shared" si="0"/>
        <v>#REF!</v>
      </c>
    </row>
    <row r="26" spans="1:21" ht="15">
      <c r="A26" s="129"/>
      <c r="B26" s="129"/>
      <c r="D26" s="34">
        <f t="shared" si="1"/>
        <v>0</v>
      </c>
      <c r="E26" s="3">
        <f>COUNTIF(Vertices[Degree],"&gt;= "&amp;D26)-COUNTIF(Vertices[Degree],"&gt;="&amp;D28)</f>
        <v>0</v>
      </c>
      <c r="F26" s="39">
        <f t="shared" si="2"/>
        <v>0.8727272727272729</v>
      </c>
      <c r="G26" s="40">
        <f>COUNTIF(Vertices[In-Degree],"&gt;= "&amp;F26)-COUNTIF(Vertices[In-Degree],"&gt;="&amp;F28)</f>
        <v>0</v>
      </c>
      <c r="H26" s="39">
        <f t="shared" si="3"/>
        <v>4.363636363636362</v>
      </c>
      <c r="I26" s="40">
        <f>COUNTIF(Vertices[Out-Degree],"&gt;= "&amp;H26)-COUNTIF(Vertices[Out-Degree],"&gt;="&amp;H28)</f>
        <v>0</v>
      </c>
      <c r="J26" s="39">
        <f t="shared" si="4"/>
        <v>30.545454545454554</v>
      </c>
      <c r="K26" s="40">
        <f>COUNTIF(Vertices[Betweenness Centrality],"&gt;= "&amp;J26)-COUNTIF(Vertices[Betweenness Centrality],"&gt;="&amp;J28)</f>
        <v>0</v>
      </c>
      <c r="L26" s="39">
        <f t="shared" si="5"/>
        <v>0.4660289454545456</v>
      </c>
      <c r="M26" s="40">
        <f>COUNTIF(Vertices[Closeness Centrality],"&gt;= "&amp;L26)-COUNTIF(Vertices[Closeness Centrality],"&gt;="&amp;L28)</f>
        <v>0</v>
      </c>
      <c r="N26" s="39">
        <f t="shared" si="6"/>
        <v>0.08673294545454546</v>
      </c>
      <c r="O26" s="40">
        <f>COUNTIF(Vertices[Eigenvector Centrality],"&gt;= "&amp;N26)-COUNTIF(Vertices[Eigenvector Centrality],"&gt;="&amp;N28)</f>
        <v>5</v>
      </c>
      <c r="P26" s="39">
        <f t="shared" si="7"/>
        <v>1.790374272727272</v>
      </c>
      <c r="Q26" s="40">
        <f>COUNTIF(Vertices[PageRank],"&gt;= "&amp;P26)-COUNTIF(Vertices[PageRank],"&gt;="&amp;P28)</f>
        <v>0</v>
      </c>
      <c r="R26" s="39">
        <f t="shared" si="8"/>
        <v>0.43636363636363645</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158</v>
      </c>
      <c r="B27" s="36">
        <v>0.10897435897435898</v>
      </c>
      <c r="D27" s="34"/>
      <c r="E27" s="3">
        <f>COUNTIF(Vertices[Degree],"&gt;= "&amp;D27)-COUNTIF(Vertices[Degree],"&gt;="&amp;D28)</f>
        <v>0</v>
      </c>
      <c r="F27" s="78"/>
      <c r="G27" s="79">
        <f>COUNTIF(Vertices[In-Degree],"&gt;= "&amp;F27)-COUNTIF(Vertices[In-Degree],"&gt;="&amp;F28)</f>
        <v>-12</v>
      </c>
      <c r="H27" s="78"/>
      <c r="I27" s="79">
        <f>COUNTIF(Vertices[Out-Degree],"&gt;= "&amp;H27)-COUNTIF(Vertices[Out-Degree],"&gt;="&amp;H28)</f>
        <v>-2</v>
      </c>
      <c r="J27" s="78"/>
      <c r="K27" s="79">
        <f>COUNTIF(Vertices[Betweenness Centrality],"&gt;= "&amp;J27)-COUNTIF(Vertices[Betweenness Centrality],"&gt;="&amp;J28)</f>
        <v>-1</v>
      </c>
      <c r="L27" s="78"/>
      <c r="M27" s="79">
        <f>COUNTIF(Vertices[Closeness Centrality],"&gt;= "&amp;L27)-COUNTIF(Vertices[Closeness Centrality],"&gt;="&amp;L28)</f>
        <v>-2</v>
      </c>
      <c r="N27" s="78"/>
      <c r="O27" s="79">
        <f>COUNTIF(Vertices[Eigenvector Centrality],"&gt;= "&amp;N27)-COUNTIF(Vertices[Eigenvector Centrality],"&gt;="&amp;N28)</f>
        <v>-2</v>
      </c>
      <c r="P27" s="78"/>
      <c r="Q27" s="79">
        <f>COUNTIF(Vertices[Eigenvector Centrality],"&gt;= "&amp;P27)-COUNTIF(Vertices[Eigenvector Centrality],"&gt;="&amp;P28)</f>
        <v>0</v>
      </c>
      <c r="R27" s="78"/>
      <c r="S27" s="80">
        <f>COUNTIF(Vertices[Clustering Coefficient],"&gt;= "&amp;R27)-COUNTIF(Vertices[Clustering Coefficient],"&gt;="&amp;R28)</f>
        <v>-5</v>
      </c>
      <c r="T27" s="78"/>
      <c r="U27" s="79">
        <f ca="1">COUNTIF(Vertices[Clustering Coefficient],"&gt;= "&amp;T27)-COUNTIF(Vertices[Clustering Coefficient],"&gt;="&amp;T28)</f>
        <v>0</v>
      </c>
    </row>
    <row r="28" spans="1:21" ht="15">
      <c r="A28" s="36" t="s">
        <v>431</v>
      </c>
      <c r="B28" s="36">
        <v>0.219282</v>
      </c>
      <c r="D28" s="34">
        <f>D26+($D$57-$D$2)/BinDivisor</f>
        <v>0</v>
      </c>
      <c r="E28" s="3">
        <f>COUNTIF(Vertices[Degree],"&gt;= "&amp;D28)-COUNTIF(Vertices[Degree],"&gt;="&amp;D40)</f>
        <v>0</v>
      </c>
      <c r="F28" s="41">
        <f>F26+($F$57-$F$2)/BinDivisor</f>
        <v>0.9090909090909093</v>
      </c>
      <c r="G28" s="42">
        <f>COUNTIF(Vertices[In-Degree],"&gt;= "&amp;F28)-COUNTIF(Vertices[In-Degree],"&gt;="&amp;F40)</f>
        <v>0</v>
      </c>
      <c r="H28" s="41">
        <f>H26+($H$57-$H$2)/BinDivisor</f>
        <v>4.545454545454544</v>
      </c>
      <c r="I28" s="42">
        <f>COUNTIF(Vertices[Out-Degree],"&gt;= "&amp;H28)-COUNTIF(Vertices[Out-Degree],"&gt;="&amp;H40)</f>
        <v>0</v>
      </c>
      <c r="J28" s="41">
        <f>J26+($J$57-$J$2)/BinDivisor</f>
        <v>31.818181818181827</v>
      </c>
      <c r="K28" s="42">
        <f>COUNTIF(Vertices[Betweenness Centrality],"&gt;= "&amp;J28)-COUNTIF(Vertices[Betweenness Centrality],"&gt;="&amp;J40)</f>
        <v>0</v>
      </c>
      <c r="L28" s="41">
        <f>L26+($L$57-$L$2)/BinDivisor</f>
        <v>0.48325381818181834</v>
      </c>
      <c r="M28" s="42">
        <f>COUNTIF(Vertices[Closeness Centrality],"&gt;= "&amp;L28)-COUNTIF(Vertices[Closeness Centrality],"&gt;="&amp;L40)</f>
        <v>0</v>
      </c>
      <c r="N28" s="41">
        <f>N26+($N$57-$N$2)/BinDivisor</f>
        <v>0.0903468181818182</v>
      </c>
      <c r="O28" s="42">
        <f>COUNTIF(Vertices[Eigenvector Centrality],"&gt;= "&amp;N28)-COUNTIF(Vertices[Eigenvector Centrality],"&gt;="&amp;N40)</f>
        <v>0</v>
      </c>
      <c r="P28" s="41">
        <f>P26+($P$57-$P$2)/BinDivisor</f>
        <v>1.8462479090909083</v>
      </c>
      <c r="Q28" s="42">
        <f>COUNTIF(Vertices[PageRank],"&gt;= "&amp;P28)-COUNTIF(Vertices[PageRank],"&gt;="&amp;P40)</f>
        <v>0</v>
      </c>
      <c r="R28" s="41">
        <f>R26+($R$57-$R$2)/BinDivisor</f>
        <v>0.45454545454545464</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129"/>
      <c r="B29" s="129"/>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432</v>
      </c>
      <c r="B30" s="36" t="s">
        <v>433</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-12</v>
      </c>
      <c r="H38" s="78"/>
      <c r="I38" s="79">
        <f>COUNTIF(Vertices[Out-Degree],"&gt;= "&amp;H38)-COUNTIF(Vertices[Out-Degree],"&gt;="&amp;H40)</f>
        <v>-2</v>
      </c>
      <c r="J38" s="78"/>
      <c r="K38" s="79">
        <f>COUNTIF(Vertices[Betweenness Centrality],"&gt;= "&amp;J38)-COUNTIF(Vertices[Betweenness Centrality],"&gt;="&amp;J40)</f>
        <v>-1</v>
      </c>
      <c r="L38" s="78"/>
      <c r="M38" s="79">
        <f>COUNTIF(Vertices[Closeness Centrality],"&gt;= "&amp;L38)-COUNTIF(Vertices[Closeness Centrality],"&gt;="&amp;L40)</f>
        <v>-2</v>
      </c>
      <c r="N38" s="78"/>
      <c r="O38" s="79">
        <f>COUNTIF(Vertices[Eigenvector Centrality],"&gt;= "&amp;N38)-COUNTIF(Vertices[Eigenvector Centrality],"&gt;="&amp;N40)</f>
        <v>-2</v>
      </c>
      <c r="P38" s="78"/>
      <c r="Q38" s="79">
        <f>COUNTIF(Vertices[Eigenvector Centrality],"&gt;= "&amp;P38)-COUNTIF(Vertices[Eigenvector Centrality],"&gt;="&amp;P40)</f>
        <v>0</v>
      </c>
      <c r="R38" s="78"/>
      <c r="S38" s="80">
        <f>COUNTIF(Vertices[Clustering Coefficient],"&gt;= "&amp;R38)-COUNTIF(Vertices[Clustering Coefficient],"&gt;="&amp;R40)</f>
        <v>-5</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-12</v>
      </c>
      <c r="H39" s="78"/>
      <c r="I39" s="79">
        <f>COUNTIF(Vertices[Out-Degree],"&gt;= "&amp;H39)-COUNTIF(Vertices[Out-Degree],"&gt;="&amp;H40)</f>
        <v>-2</v>
      </c>
      <c r="J39" s="78"/>
      <c r="K39" s="79">
        <f>COUNTIF(Vertices[Betweenness Centrality],"&gt;= "&amp;J39)-COUNTIF(Vertices[Betweenness Centrality],"&gt;="&amp;J40)</f>
        <v>-1</v>
      </c>
      <c r="L39" s="78"/>
      <c r="M39" s="79">
        <f>COUNTIF(Vertices[Closeness Centrality],"&gt;= "&amp;L39)-COUNTIF(Vertices[Closeness Centrality],"&gt;="&amp;L40)</f>
        <v>-2</v>
      </c>
      <c r="N39" s="78"/>
      <c r="O39" s="79">
        <f>COUNTIF(Vertices[Eigenvector Centrality],"&gt;= "&amp;N39)-COUNTIF(Vertices[Eigenvector Centrality],"&gt;="&amp;N40)</f>
        <v>-2</v>
      </c>
      <c r="P39" s="78"/>
      <c r="Q39" s="79">
        <f>COUNTIF(Vertices[Eigenvector Centrality],"&gt;= "&amp;P39)-COUNTIF(Vertices[Eigenvector Centrality],"&gt;="&amp;P40)</f>
        <v>0</v>
      </c>
      <c r="R39" s="78"/>
      <c r="S39" s="80">
        <f>COUNTIF(Vertices[Clustering Coefficient],"&gt;= "&amp;R39)-COUNTIF(Vertices[Clustering Coefficient],"&gt;="&amp;R40)</f>
        <v>-5</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0.9454545454545457</v>
      </c>
      <c r="G40" s="40">
        <f>COUNTIF(Vertices[In-Degree],"&gt;= "&amp;F40)-COUNTIF(Vertices[In-Degree],"&gt;="&amp;F41)</f>
        <v>0</v>
      </c>
      <c r="H40" s="39">
        <f>H28+($H$57-$H$2)/BinDivisor</f>
        <v>4.727272727272726</v>
      </c>
      <c r="I40" s="40">
        <f>COUNTIF(Vertices[Out-Degree],"&gt;= "&amp;H40)-COUNTIF(Vertices[Out-Degree],"&gt;="&amp;H41)</f>
        <v>0</v>
      </c>
      <c r="J40" s="39">
        <f>J28+($J$57-$J$2)/BinDivisor</f>
        <v>33.0909090909091</v>
      </c>
      <c r="K40" s="40">
        <f>COUNTIF(Vertices[Betweenness Centrality],"&gt;= "&amp;J40)-COUNTIF(Vertices[Betweenness Centrality],"&gt;="&amp;J41)</f>
        <v>0</v>
      </c>
      <c r="L40" s="39">
        <f>L28+($L$57-$L$2)/BinDivisor</f>
        <v>0.500478690909091</v>
      </c>
      <c r="M40" s="40">
        <f>COUNTIF(Vertices[Closeness Centrality],"&gt;= "&amp;L40)-COUNTIF(Vertices[Closeness Centrality],"&gt;="&amp;L41)</f>
        <v>0</v>
      </c>
      <c r="N40" s="39">
        <f>N28+($N$57-$N$2)/BinDivisor</f>
        <v>0.09396069090909093</v>
      </c>
      <c r="O40" s="40">
        <f>COUNTIF(Vertices[Eigenvector Centrality],"&gt;= "&amp;N40)-COUNTIF(Vertices[Eigenvector Centrality],"&gt;="&amp;N41)</f>
        <v>0</v>
      </c>
      <c r="P40" s="39">
        <f>P28+($P$57-$P$2)/BinDivisor</f>
        <v>1.9021215454545446</v>
      </c>
      <c r="Q40" s="40">
        <f>COUNTIF(Vertices[PageRank],"&gt;= "&amp;P40)-COUNTIF(Vertices[PageRank],"&gt;="&amp;P41)</f>
        <v>0</v>
      </c>
      <c r="R40" s="39">
        <f>R28+($R$57-$R$2)/BinDivisor</f>
        <v>0.47272727272727283</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0.981818181818182</v>
      </c>
      <c r="G41" s="42">
        <f>COUNTIF(Vertices[In-Degree],"&gt;= "&amp;F41)-COUNTIF(Vertices[In-Degree],"&gt;="&amp;F42)</f>
        <v>7</v>
      </c>
      <c r="H41" s="41">
        <f aca="true" t="shared" si="12" ref="H41:H56">H40+($H$57-$H$2)/BinDivisor</f>
        <v>4.909090909090907</v>
      </c>
      <c r="I41" s="42">
        <f>COUNTIF(Vertices[Out-Degree],"&gt;= "&amp;H41)-COUNTIF(Vertices[Out-Degree],"&gt;="&amp;H42)</f>
        <v>0</v>
      </c>
      <c r="J41" s="41">
        <f aca="true" t="shared" si="13" ref="J41:J56">J40+($J$57-$J$2)/BinDivisor</f>
        <v>34.363636363636374</v>
      </c>
      <c r="K41" s="42">
        <f>COUNTIF(Vertices[Betweenness Centrality],"&gt;= "&amp;J41)-COUNTIF(Vertices[Betweenness Centrality],"&gt;="&amp;J42)</f>
        <v>0</v>
      </c>
      <c r="L41" s="41">
        <f aca="true" t="shared" si="14" ref="L41:L56">L40+($L$57-$L$2)/BinDivisor</f>
        <v>0.5177035636363637</v>
      </c>
      <c r="M41" s="42">
        <f>COUNTIF(Vertices[Closeness Centrality],"&gt;= "&amp;L41)-COUNTIF(Vertices[Closeness Centrality],"&gt;="&amp;L42)</f>
        <v>0</v>
      </c>
      <c r="N41" s="41">
        <f aca="true" t="shared" si="15" ref="N41:N56">N40+($N$57-$N$2)/BinDivisor</f>
        <v>0.09757456363636366</v>
      </c>
      <c r="O41" s="42">
        <f>COUNTIF(Vertices[Eigenvector Centrality],"&gt;= "&amp;N41)-COUNTIF(Vertices[Eigenvector Centrality],"&gt;="&amp;N42)</f>
        <v>0</v>
      </c>
      <c r="P41" s="41">
        <f aca="true" t="shared" si="16" ref="P41:P56">P40+($P$57-$P$2)/BinDivisor</f>
        <v>1.9579951818181809</v>
      </c>
      <c r="Q41" s="42">
        <f>COUNTIF(Vertices[PageRank],"&gt;= "&amp;P41)-COUNTIF(Vertices[PageRank],"&gt;="&amp;P42)</f>
        <v>1</v>
      </c>
      <c r="R41" s="41">
        <f aca="true" t="shared" si="17" ref="R41:R56">R40+($R$57-$R$2)/BinDivisor</f>
        <v>0.490909090909091</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1.0181818181818183</v>
      </c>
      <c r="G42" s="40">
        <f>COUNTIF(Vertices[In-Degree],"&gt;= "&amp;F42)-COUNTIF(Vertices[In-Degree],"&gt;="&amp;F43)</f>
        <v>0</v>
      </c>
      <c r="H42" s="39">
        <f t="shared" si="12"/>
        <v>5.090909090909089</v>
      </c>
      <c r="I42" s="40">
        <f>COUNTIF(Vertices[Out-Degree],"&gt;= "&amp;H42)-COUNTIF(Vertices[Out-Degree],"&gt;="&amp;H43)</f>
        <v>0</v>
      </c>
      <c r="J42" s="39">
        <f t="shared" si="13"/>
        <v>35.63636363636365</v>
      </c>
      <c r="K42" s="40">
        <f>COUNTIF(Vertices[Betweenness Centrality],"&gt;= "&amp;J42)-COUNTIF(Vertices[Betweenness Centrality],"&gt;="&amp;J43)</f>
        <v>0</v>
      </c>
      <c r="L42" s="39">
        <f t="shared" si="14"/>
        <v>0.5349284363636364</v>
      </c>
      <c r="M42" s="40">
        <f>COUNTIF(Vertices[Closeness Centrality],"&gt;= "&amp;L42)-COUNTIF(Vertices[Closeness Centrality],"&gt;="&amp;L43)</f>
        <v>0</v>
      </c>
      <c r="N42" s="39">
        <f t="shared" si="15"/>
        <v>0.10118843636363639</v>
      </c>
      <c r="O42" s="40">
        <f>COUNTIF(Vertices[Eigenvector Centrality],"&gt;= "&amp;N42)-COUNTIF(Vertices[Eigenvector Centrality],"&gt;="&amp;N43)</f>
        <v>0</v>
      </c>
      <c r="P42" s="39">
        <f t="shared" si="16"/>
        <v>2.0138688181818174</v>
      </c>
      <c r="Q42" s="40">
        <f>COUNTIF(Vertices[PageRank],"&gt;= "&amp;P42)-COUNTIF(Vertices[PageRank],"&gt;="&amp;P43)</f>
        <v>0</v>
      </c>
      <c r="R42" s="39">
        <f t="shared" si="17"/>
        <v>0.5090909090909091</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1.0545454545454547</v>
      </c>
      <c r="G43" s="42">
        <f>COUNTIF(Vertices[In-Degree],"&gt;= "&amp;F43)-COUNTIF(Vertices[In-Degree],"&gt;="&amp;F44)</f>
        <v>0</v>
      </c>
      <c r="H43" s="41">
        <f t="shared" si="12"/>
        <v>5.272727272727271</v>
      </c>
      <c r="I43" s="42">
        <f>COUNTIF(Vertices[Out-Degree],"&gt;= "&amp;H43)-COUNTIF(Vertices[Out-Degree],"&gt;="&amp;H44)</f>
        <v>0</v>
      </c>
      <c r="J43" s="41">
        <f t="shared" si="13"/>
        <v>36.90909090909092</v>
      </c>
      <c r="K43" s="42">
        <f>COUNTIF(Vertices[Betweenness Centrality],"&gt;= "&amp;J43)-COUNTIF(Vertices[Betweenness Centrality],"&gt;="&amp;J44)</f>
        <v>0</v>
      </c>
      <c r="L43" s="41">
        <f t="shared" si="14"/>
        <v>0.5521533090909091</v>
      </c>
      <c r="M43" s="42">
        <f>COUNTIF(Vertices[Closeness Centrality],"&gt;= "&amp;L43)-COUNTIF(Vertices[Closeness Centrality],"&gt;="&amp;L44)</f>
        <v>0</v>
      </c>
      <c r="N43" s="41">
        <f t="shared" si="15"/>
        <v>0.10480230909090912</v>
      </c>
      <c r="O43" s="42">
        <f>COUNTIF(Vertices[Eigenvector Centrality],"&gt;= "&amp;N43)-COUNTIF(Vertices[Eigenvector Centrality],"&gt;="&amp;N44)</f>
        <v>0</v>
      </c>
      <c r="P43" s="41">
        <f t="shared" si="16"/>
        <v>2.069742454545454</v>
      </c>
      <c r="Q43" s="42">
        <f>COUNTIF(Vertices[PageRank],"&gt;= "&amp;P43)-COUNTIF(Vertices[PageRank],"&gt;="&amp;P44)</f>
        <v>0</v>
      </c>
      <c r="R43" s="41">
        <f t="shared" si="17"/>
        <v>0.5272727272727273</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1.090909090909091</v>
      </c>
      <c r="G44" s="40">
        <f>COUNTIF(Vertices[In-Degree],"&gt;= "&amp;F44)-COUNTIF(Vertices[In-Degree],"&gt;="&amp;F45)</f>
        <v>0</v>
      </c>
      <c r="H44" s="39">
        <f t="shared" si="12"/>
        <v>5.454545454545452</v>
      </c>
      <c r="I44" s="40">
        <f>COUNTIF(Vertices[Out-Degree],"&gt;= "&amp;H44)-COUNTIF(Vertices[Out-Degree],"&gt;="&amp;H45)</f>
        <v>0</v>
      </c>
      <c r="J44" s="39">
        <f t="shared" si="13"/>
        <v>38.181818181818194</v>
      </c>
      <c r="K44" s="40">
        <f>COUNTIF(Vertices[Betweenness Centrality],"&gt;= "&amp;J44)-COUNTIF(Vertices[Betweenness Centrality],"&gt;="&amp;J45)</f>
        <v>0</v>
      </c>
      <c r="L44" s="39">
        <f t="shared" si="14"/>
        <v>0.5693781818181818</v>
      </c>
      <c r="M44" s="40">
        <f>COUNTIF(Vertices[Closeness Centrality],"&gt;= "&amp;L44)-COUNTIF(Vertices[Closeness Centrality],"&gt;="&amp;L45)</f>
        <v>0</v>
      </c>
      <c r="N44" s="39">
        <f t="shared" si="15"/>
        <v>0.10841618181818186</v>
      </c>
      <c r="O44" s="40">
        <f>COUNTIF(Vertices[Eigenvector Centrality],"&gt;= "&amp;N44)-COUNTIF(Vertices[Eigenvector Centrality],"&gt;="&amp;N45)</f>
        <v>0</v>
      </c>
      <c r="P44" s="39">
        <f t="shared" si="16"/>
        <v>2.1256160909090904</v>
      </c>
      <c r="Q44" s="40">
        <f>COUNTIF(Vertices[PageRank],"&gt;= "&amp;P44)-COUNTIF(Vertices[PageRank],"&gt;="&amp;P45)</f>
        <v>0</v>
      </c>
      <c r="R44" s="39">
        <f t="shared" si="17"/>
        <v>0.5454545454545455</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1.1272727272727274</v>
      </c>
      <c r="G45" s="42">
        <f>COUNTIF(Vertices[In-Degree],"&gt;= "&amp;F45)-COUNTIF(Vertices[In-Degree],"&gt;="&amp;F46)</f>
        <v>0</v>
      </c>
      <c r="H45" s="41">
        <f t="shared" si="12"/>
        <v>5.636363636363634</v>
      </c>
      <c r="I45" s="42">
        <f>COUNTIF(Vertices[Out-Degree],"&gt;= "&amp;H45)-COUNTIF(Vertices[Out-Degree],"&gt;="&amp;H46)</f>
        <v>0</v>
      </c>
      <c r="J45" s="41">
        <f t="shared" si="13"/>
        <v>39.45454545454547</v>
      </c>
      <c r="K45" s="42">
        <f>COUNTIF(Vertices[Betweenness Centrality],"&gt;= "&amp;J45)-COUNTIF(Vertices[Betweenness Centrality],"&gt;="&amp;J46)</f>
        <v>0</v>
      </c>
      <c r="L45" s="41">
        <f t="shared" si="14"/>
        <v>0.5866030545454545</v>
      </c>
      <c r="M45" s="42">
        <f>COUNTIF(Vertices[Closeness Centrality],"&gt;= "&amp;L45)-COUNTIF(Vertices[Closeness Centrality],"&gt;="&amp;L46)</f>
        <v>0</v>
      </c>
      <c r="N45" s="41">
        <f t="shared" si="15"/>
        <v>0.11203005454545459</v>
      </c>
      <c r="O45" s="42">
        <f>COUNTIF(Vertices[Eigenvector Centrality],"&gt;= "&amp;N45)-COUNTIF(Vertices[Eigenvector Centrality],"&gt;="&amp;N46)</f>
        <v>0</v>
      </c>
      <c r="P45" s="41">
        <f t="shared" si="16"/>
        <v>2.181489727272727</v>
      </c>
      <c r="Q45" s="42">
        <f>COUNTIF(Vertices[PageRank],"&gt;= "&amp;P45)-COUNTIF(Vertices[PageRank],"&gt;="&amp;P46)</f>
        <v>0</v>
      </c>
      <c r="R45" s="41">
        <f t="shared" si="17"/>
        <v>0.5636363636363637</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1.1636363636363638</v>
      </c>
      <c r="G46" s="40">
        <f>COUNTIF(Vertices[In-Degree],"&gt;= "&amp;F46)-COUNTIF(Vertices[In-Degree],"&gt;="&amp;F47)</f>
        <v>0</v>
      </c>
      <c r="H46" s="39">
        <f t="shared" si="12"/>
        <v>5.818181818181816</v>
      </c>
      <c r="I46" s="40">
        <f>COUNTIF(Vertices[Out-Degree],"&gt;= "&amp;H46)-COUNTIF(Vertices[Out-Degree],"&gt;="&amp;H47)</f>
        <v>0</v>
      </c>
      <c r="J46" s="39">
        <f t="shared" si="13"/>
        <v>40.72727272727274</v>
      </c>
      <c r="K46" s="40">
        <f>COUNTIF(Vertices[Betweenness Centrality],"&gt;= "&amp;J46)-COUNTIF(Vertices[Betweenness Centrality],"&gt;="&amp;J47)</f>
        <v>0</v>
      </c>
      <c r="L46" s="39">
        <f t="shared" si="14"/>
        <v>0.6038279272727272</v>
      </c>
      <c r="M46" s="40">
        <f>COUNTIF(Vertices[Closeness Centrality],"&gt;= "&amp;L46)-COUNTIF(Vertices[Closeness Centrality],"&gt;="&amp;L47)</f>
        <v>0</v>
      </c>
      <c r="N46" s="39">
        <f t="shared" si="15"/>
        <v>0.11564392727272732</v>
      </c>
      <c r="O46" s="40">
        <f>COUNTIF(Vertices[Eigenvector Centrality],"&gt;= "&amp;N46)-COUNTIF(Vertices[Eigenvector Centrality],"&gt;="&amp;N47)</f>
        <v>0</v>
      </c>
      <c r="P46" s="39">
        <f t="shared" si="16"/>
        <v>2.2373633636363635</v>
      </c>
      <c r="Q46" s="40">
        <f>COUNTIF(Vertices[PageRank],"&gt;= "&amp;P46)-COUNTIF(Vertices[PageRank],"&gt;="&amp;P47)</f>
        <v>0</v>
      </c>
      <c r="R46" s="39">
        <f t="shared" si="17"/>
        <v>0.5818181818181819</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1.2000000000000002</v>
      </c>
      <c r="G47" s="42">
        <f>COUNTIF(Vertices[In-Degree],"&gt;= "&amp;F47)-COUNTIF(Vertices[In-Degree],"&gt;="&amp;F48)</f>
        <v>0</v>
      </c>
      <c r="H47" s="41">
        <f t="shared" si="12"/>
        <v>5.999999999999997</v>
      </c>
      <c r="I47" s="42">
        <f>COUNTIF(Vertices[Out-Degree],"&gt;= "&amp;H47)-COUNTIF(Vertices[Out-Degree],"&gt;="&amp;H48)</f>
        <v>1</v>
      </c>
      <c r="J47" s="41">
        <f t="shared" si="13"/>
        <v>42.000000000000014</v>
      </c>
      <c r="K47" s="42">
        <f>COUNTIF(Vertices[Betweenness Centrality],"&gt;= "&amp;J47)-COUNTIF(Vertices[Betweenness Centrality],"&gt;="&amp;J48)</f>
        <v>0</v>
      </c>
      <c r="L47" s="41">
        <f t="shared" si="14"/>
        <v>0.6210527999999998</v>
      </c>
      <c r="M47" s="42">
        <f>COUNTIF(Vertices[Closeness Centrality],"&gt;= "&amp;L47)-COUNTIF(Vertices[Closeness Centrality],"&gt;="&amp;L48)</f>
        <v>0</v>
      </c>
      <c r="N47" s="41">
        <f t="shared" si="15"/>
        <v>0.11925780000000005</v>
      </c>
      <c r="O47" s="42">
        <f>COUNTIF(Vertices[Eigenvector Centrality],"&gt;= "&amp;N47)-COUNTIF(Vertices[Eigenvector Centrality],"&gt;="&amp;N48)</f>
        <v>0</v>
      </c>
      <c r="P47" s="41">
        <f t="shared" si="16"/>
        <v>2.293237</v>
      </c>
      <c r="Q47" s="42">
        <f>COUNTIF(Vertices[PageRank],"&gt;= "&amp;P47)-COUNTIF(Vertices[PageRank],"&gt;="&amp;P48)</f>
        <v>0</v>
      </c>
      <c r="R47" s="41">
        <f t="shared" si="17"/>
        <v>0.6000000000000001</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1.2363636363636366</v>
      </c>
      <c r="G48" s="40">
        <f>COUNTIF(Vertices[In-Degree],"&gt;= "&amp;F48)-COUNTIF(Vertices[In-Degree],"&gt;="&amp;F49)</f>
        <v>0</v>
      </c>
      <c r="H48" s="39">
        <f t="shared" si="12"/>
        <v>6.181818181818179</v>
      </c>
      <c r="I48" s="40">
        <f>COUNTIF(Vertices[Out-Degree],"&gt;= "&amp;H48)-COUNTIF(Vertices[Out-Degree],"&gt;="&amp;H49)</f>
        <v>0</v>
      </c>
      <c r="J48" s="39">
        <f t="shared" si="13"/>
        <v>43.27272727272729</v>
      </c>
      <c r="K48" s="40">
        <f>COUNTIF(Vertices[Betweenness Centrality],"&gt;= "&amp;J48)-COUNTIF(Vertices[Betweenness Centrality],"&gt;="&amp;J49)</f>
        <v>0</v>
      </c>
      <c r="L48" s="39">
        <f t="shared" si="14"/>
        <v>0.6382776727272725</v>
      </c>
      <c r="M48" s="40">
        <f>COUNTIF(Vertices[Closeness Centrality],"&gt;= "&amp;L48)-COUNTIF(Vertices[Closeness Centrality],"&gt;="&amp;L49)</f>
        <v>0</v>
      </c>
      <c r="N48" s="39">
        <f t="shared" si="15"/>
        <v>0.12287167272727278</v>
      </c>
      <c r="O48" s="40">
        <f>COUNTIF(Vertices[Eigenvector Centrality],"&gt;= "&amp;N48)-COUNTIF(Vertices[Eigenvector Centrality],"&gt;="&amp;N49)</f>
        <v>0</v>
      </c>
      <c r="P48" s="39">
        <f t="shared" si="16"/>
        <v>2.3491106363636365</v>
      </c>
      <c r="Q48" s="40">
        <f>COUNTIF(Vertices[PageRank],"&gt;= "&amp;P48)-COUNTIF(Vertices[PageRank],"&gt;="&amp;P49)</f>
        <v>0</v>
      </c>
      <c r="R48" s="39">
        <f t="shared" si="17"/>
        <v>0.6181818181818183</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1.272727272727273</v>
      </c>
      <c r="G49" s="42">
        <f>COUNTIF(Vertices[In-Degree],"&gt;= "&amp;F49)-COUNTIF(Vertices[In-Degree],"&gt;="&amp;F50)</f>
        <v>0</v>
      </c>
      <c r="H49" s="41">
        <f t="shared" si="12"/>
        <v>6.363636363636361</v>
      </c>
      <c r="I49" s="42">
        <f>COUNTIF(Vertices[Out-Degree],"&gt;= "&amp;H49)-COUNTIF(Vertices[Out-Degree],"&gt;="&amp;H50)</f>
        <v>0</v>
      </c>
      <c r="J49" s="41">
        <f t="shared" si="13"/>
        <v>44.54545454545456</v>
      </c>
      <c r="K49" s="42">
        <f>COUNTIF(Vertices[Betweenness Centrality],"&gt;= "&amp;J49)-COUNTIF(Vertices[Betweenness Centrality],"&gt;="&amp;J50)</f>
        <v>0</v>
      </c>
      <c r="L49" s="41">
        <f t="shared" si="14"/>
        <v>0.6555025454545452</v>
      </c>
      <c r="M49" s="42">
        <f>COUNTIF(Vertices[Closeness Centrality],"&gt;= "&amp;L49)-COUNTIF(Vertices[Closeness Centrality],"&gt;="&amp;L50)</f>
        <v>0</v>
      </c>
      <c r="N49" s="41">
        <f t="shared" si="15"/>
        <v>0.12648554545454552</v>
      </c>
      <c r="O49" s="42">
        <f>COUNTIF(Vertices[Eigenvector Centrality],"&gt;= "&amp;N49)-COUNTIF(Vertices[Eigenvector Centrality],"&gt;="&amp;N50)</f>
        <v>0</v>
      </c>
      <c r="P49" s="41">
        <f t="shared" si="16"/>
        <v>2.404984272727273</v>
      </c>
      <c r="Q49" s="42">
        <f>COUNTIF(Vertices[PageRank],"&gt;= "&amp;P49)-COUNTIF(Vertices[PageRank],"&gt;="&amp;P50)</f>
        <v>0</v>
      </c>
      <c r="R49" s="41">
        <f t="shared" si="17"/>
        <v>0.6363636363636365</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1.3090909090909093</v>
      </c>
      <c r="G50" s="40">
        <f>COUNTIF(Vertices[In-Degree],"&gt;= "&amp;F50)-COUNTIF(Vertices[In-Degree],"&gt;="&amp;F51)</f>
        <v>0</v>
      </c>
      <c r="H50" s="39">
        <f t="shared" si="12"/>
        <v>6.545454545454542</v>
      </c>
      <c r="I50" s="40">
        <f>COUNTIF(Vertices[Out-Degree],"&gt;= "&amp;H50)-COUNTIF(Vertices[Out-Degree],"&gt;="&amp;H51)</f>
        <v>0</v>
      </c>
      <c r="J50" s="39">
        <f t="shared" si="13"/>
        <v>45.818181818181834</v>
      </c>
      <c r="K50" s="40">
        <f>COUNTIF(Vertices[Betweenness Centrality],"&gt;= "&amp;J50)-COUNTIF(Vertices[Betweenness Centrality],"&gt;="&amp;J51)</f>
        <v>0</v>
      </c>
      <c r="L50" s="39">
        <f t="shared" si="14"/>
        <v>0.6727274181818179</v>
      </c>
      <c r="M50" s="40">
        <f>COUNTIF(Vertices[Closeness Centrality],"&gt;= "&amp;L50)-COUNTIF(Vertices[Closeness Centrality],"&gt;="&amp;L51)</f>
        <v>0</v>
      </c>
      <c r="N50" s="39">
        <f t="shared" si="15"/>
        <v>0.13009941818181825</v>
      </c>
      <c r="O50" s="40">
        <f>COUNTIF(Vertices[Eigenvector Centrality],"&gt;= "&amp;N50)-COUNTIF(Vertices[Eigenvector Centrality],"&gt;="&amp;N51)</f>
        <v>0</v>
      </c>
      <c r="P50" s="39">
        <f t="shared" si="16"/>
        <v>2.4608579090909095</v>
      </c>
      <c r="Q50" s="40">
        <f>COUNTIF(Vertices[PageRank],"&gt;= "&amp;P50)-COUNTIF(Vertices[PageRank],"&gt;="&amp;P51)</f>
        <v>0</v>
      </c>
      <c r="R50" s="39">
        <f t="shared" si="17"/>
        <v>0.6545454545454547</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1.3454545454545457</v>
      </c>
      <c r="G51" s="42">
        <f>COUNTIF(Vertices[In-Degree],"&gt;= "&amp;F51)-COUNTIF(Vertices[In-Degree],"&gt;="&amp;F52)</f>
        <v>0</v>
      </c>
      <c r="H51" s="41">
        <f t="shared" si="12"/>
        <v>6.727272727272724</v>
      </c>
      <c r="I51" s="42">
        <f>COUNTIF(Vertices[Out-Degree],"&gt;= "&amp;H51)-COUNTIF(Vertices[Out-Degree],"&gt;="&amp;H52)</f>
        <v>0</v>
      </c>
      <c r="J51" s="41">
        <f t="shared" si="13"/>
        <v>47.09090909090911</v>
      </c>
      <c r="K51" s="42">
        <f>COUNTIF(Vertices[Betweenness Centrality],"&gt;= "&amp;J51)-COUNTIF(Vertices[Betweenness Centrality],"&gt;="&amp;J52)</f>
        <v>0</v>
      </c>
      <c r="L51" s="41">
        <f t="shared" si="14"/>
        <v>0.6899522909090906</v>
      </c>
      <c r="M51" s="42">
        <f>COUNTIF(Vertices[Closeness Centrality],"&gt;= "&amp;L51)-COUNTIF(Vertices[Closeness Centrality],"&gt;="&amp;L52)</f>
        <v>0</v>
      </c>
      <c r="N51" s="41">
        <f t="shared" si="15"/>
        <v>0.13371329090909098</v>
      </c>
      <c r="O51" s="42">
        <f>COUNTIF(Vertices[Eigenvector Centrality],"&gt;= "&amp;N51)-COUNTIF(Vertices[Eigenvector Centrality],"&gt;="&amp;N52)</f>
        <v>0</v>
      </c>
      <c r="P51" s="41">
        <f t="shared" si="16"/>
        <v>2.516731545454546</v>
      </c>
      <c r="Q51" s="42">
        <f>COUNTIF(Vertices[PageRank],"&gt;= "&amp;P51)-COUNTIF(Vertices[PageRank],"&gt;="&amp;P52)</f>
        <v>0</v>
      </c>
      <c r="R51" s="41">
        <f t="shared" si="17"/>
        <v>0.6727272727272728</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1.381818181818182</v>
      </c>
      <c r="G52" s="40">
        <f>COUNTIF(Vertices[In-Degree],"&gt;= "&amp;F52)-COUNTIF(Vertices[In-Degree],"&gt;="&amp;F53)</f>
        <v>0</v>
      </c>
      <c r="H52" s="39">
        <f t="shared" si="12"/>
        <v>6.909090909090906</v>
      </c>
      <c r="I52" s="40">
        <f>COUNTIF(Vertices[Out-Degree],"&gt;= "&amp;H52)-COUNTIF(Vertices[Out-Degree],"&gt;="&amp;H53)</f>
        <v>0</v>
      </c>
      <c r="J52" s="39">
        <f t="shared" si="13"/>
        <v>48.36363636363638</v>
      </c>
      <c r="K52" s="40">
        <f>COUNTIF(Vertices[Betweenness Centrality],"&gt;= "&amp;J52)-COUNTIF(Vertices[Betweenness Centrality],"&gt;="&amp;J53)</f>
        <v>0</v>
      </c>
      <c r="L52" s="39">
        <f t="shared" si="14"/>
        <v>0.7071771636363633</v>
      </c>
      <c r="M52" s="40">
        <f>COUNTIF(Vertices[Closeness Centrality],"&gt;= "&amp;L52)-COUNTIF(Vertices[Closeness Centrality],"&gt;="&amp;L53)</f>
        <v>0</v>
      </c>
      <c r="N52" s="39">
        <f t="shared" si="15"/>
        <v>0.1373271636363637</v>
      </c>
      <c r="O52" s="40">
        <f>COUNTIF(Vertices[Eigenvector Centrality],"&gt;= "&amp;N52)-COUNTIF(Vertices[Eigenvector Centrality],"&gt;="&amp;N53)</f>
        <v>0</v>
      </c>
      <c r="P52" s="39">
        <f t="shared" si="16"/>
        <v>2.5726051818181825</v>
      </c>
      <c r="Q52" s="40">
        <f>COUNTIF(Vertices[PageRank],"&gt;= "&amp;P52)-COUNTIF(Vertices[PageRank],"&gt;="&amp;P53)</f>
        <v>0</v>
      </c>
      <c r="R52" s="39">
        <f t="shared" si="17"/>
        <v>0.690909090909091</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1.4181818181818184</v>
      </c>
      <c r="G53" s="42">
        <f>COUNTIF(Vertices[In-Degree],"&gt;= "&amp;F53)-COUNTIF(Vertices[In-Degree],"&gt;="&amp;F54)</f>
        <v>0</v>
      </c>
      <c r="H53" s="41">
        <f t="shared" si="12"/>
        <v>7.090909090909087</v>
      </c>
      <c r="I53" s="42">
        <f>COUNTIF(Vertices[Out-Degree],"&gt;= "&amp;H53)-COUNTIF(Vertices[Out-Degree],"&gt;="&amp;H54)</f>
        <v>0</v>
      </c>
      <c r="J53" s="41">
        <f t="shared" si="13"/>
        <v>49.636363636363654</v>
      </c>
      <c r="K53" s="42">
        <f>COUNTIF(Vertices[Betweenness Centrality],"&gt;= "&amp;J53)-COUNTIF(Vertices[Betweenness Centrality],"&gt;="&amp;J54)</f>
        <v>0</v>
      </c>
      <c r="L53" s="41">
        <f t="shared" si="14"/>
        <v>0.724402036363636</v>
      </c>
      <c r="M53" s="42">
        <f>COUNTIF(Vertices[Closeness Centrality],"&gt;= "&amp;L53)-COUNTIF(Vertices[Closeness Centrality],"&gt;="&amp;L54)</f>
        <v>0</v>
      </c>
      <c r="N53" s="41">
        <f t="shared" si="15"/>
        <v>0.14094103636363645</v>
      </c>
      <c r="O53" s="42">
        <f>COUNTIF(Vertices[Eigenvector Centrality],"&gt;= "&amp;N53)-COUNTIF(Vertices[Eigenvector Centrality],"&gt;="&amp;N54)</f>
        <v>0</v>
      </c>
      <c r="P53" s="41">
        <f t="shared" si="16"/>
        <v>2.628478818181819</v>
      </c>
      <c r="Q53" s="42">
        <f>COUNTIF(Vertices[PageRank],"&gt;= "&amp;P53)-COUNTIF(Vertices[PageRank],"&gt;="&amp;P54)</f>
        <v>0</v>
      </c>
      <c r="R53" s="41">
        <f t="shared" si="17"/>
        <v>0.7090909090909092</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1.4545454545454548</v>
      </c>
      <c r="G54" s="40">
        <f>COUNTIF(Vertices[In-Degree],"&gt;= "&amp;F54)-COUNTIF(Vertices[In-Degree],"&gt;="&amp;F55)</f>
        <v>0</v>
      </c>
      <c r="H54" s="39">
        <f t="shared" si="12"/>
        <v>7.272727272727269</v>
      </c>
      <c r="I54" s="40">
        <f>COUNTIF(Vertices[Out-Degree],"&gt;= "&amp;H54)-COUNTIF(Vertices[Out-Degree],"&gt;="&amp;H55)</f>
        <v>0</v>
      </c>
      <c r="J54" s="39">
        <f t="shared" si="13"/>
        <v>50.90909090909093</v>
      </c>
      <c r="K54" s="40">
        <f>COUNTIF(Vertices[Betweenness Centrality],"&gt;= "&amp;J54)-COUNTIF(Vertices[Betweenness Centrality],"&gt;="&amp;J55)</f>
        <v>0</v>
      </c>
      <c r="L54" s="39">
        <f t="shared" si="14"/>
        <v>0.7416269090909087</v>
      </c>
      <c r="M54" s="40">
        <f>COUNTIF(Vertices[Closeness Centrality],"&gt;= "&amp;L54)-COUNTIF(Vertices[Closeness Centrality],"&gt;="&amp;L55)</f>
        <v>0</v>
      </c>
      <c r="N54" s="39">
        <f t="shared" si="15"/>
        <v>0.14455490909090918</v>
      </c>
      <c r="O54" s="40">
        <f>COUNTIF(Vertices[Eigenvector Centrality],"&gt;= "&amp;N54)-COUNTIF(Vertices[Eigenvector Centrality],"&gt;="&amp;N55)</f>
        <v>0</v>
      </c>
      <c r="P54" s="39">
        <f t="shared" si="16"/>
        <v>2.6843524545454556</v>
      </c>
      <c r="Q54" s="40">
        <f>COUNTIF(Vertices[PageRank],"&gt;= "&amp;P54)-COUNTIF(Vertices[PageRank],"&gt;="&amp;P55)</f>
        <v>0</v>
      </c>
      <c r="R54" s="39">
        <f t="shared" si="17"/>
        <v>0.7272727272727274</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1.4909090909090912</v>
      </c>
      <c r="G55" s="42">
        <f>COUNTIF(Vertices[In-Degree],"&gt;= "&amp;F55)-COUNTIF(Vertices[In-Degree],"&gt;="&amp;F56)</f>
        <v>0</v>
      </c>
      <c r="H55" s="41">
        <f t="shared" si="12"/>
        <v>7.454545454545451</v>
      </c>
      <c r="I55" s="42">
        <f>COUNTIF(Vertices[Out-Degree],"&gt;= "&amp;H55)-COUNTIF(Vertices[Out-Degree],"&gt;="&amp;H56)</f>
        <v>0</v>
      </c>
      <c r="J55" s="41">
        <f t="shared" si="13"/>
        <v>52.1818181818182</v>
      </c>
      <c r="K55" s="42">
        <f>COUNTIF(Vertices[Betweenness Centrality],"&gt;= "&amp;J55)-COUNTIF(Vertices[Betweenness Centrality],"&gt;="&amp;J56)</f>
        <v>0</v>
      </c>
      <c r="L55" s="41">
        <f t="shared" si="14"/>
        <v>0.7588517818181814</v>
      </c>
      <c r="M55" s="42">
        <f>COUNTIF(Vertices[Closeness Centrality],"&gt;= "&amp;L55)-COUNTIF(Vertices[Closeness Centrality],"&gt;="&amp;L56)</f>
        <v>0</v>
      </c>
      <c r="N55" s="41">
        <f t="shared" si="15"/>
        <v>0.1481687818181819</v>
      </c>
      <c r="O55" s="42">
        <f>COUNTIF(Vertices[Eigenvector Centrality],"&gt;= "&amp;N55)-COUNTIF(Vertices[Eigenvector Centrality],"&gt;="&amp;N56)</f>
        <v>0</v>
      </c>
      <c r="P55" s="41">
        <f t="shared" si="16"/>
        <v>2.740226090909092</v>
      </c>
      <c r="Q55" s="42">
        <f>COUNTIF(Vertices[PageRank],"&gt;= "&amp;P55)-COUNTIF(Vertices[PageRank],"&gt;="&amp;P56)</f>
        <v>0</v>
      </c>
      <c r="R55" s="41">
        <f t="shared" si="17"/>
        <v>0.7454545454545456</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1.5272727272727276</v>
      </c>
      <c r="G56" s="40">
        <f>COUNTIF(Vertices[In-Degree],"&gt;= "&amp;F56)-COUNTIF(Vertices[In-Degree],"&gt;="&amp;F57)</f>
        <v>0</v>
      </c>
      <c r="H56" s="39">
        <f t="shared" si="12"/>
        <v>7.636363636363632</v>
      </c>
      <c r="I56" s="40">
        <f>COUNTIF(Vertices[Out-Degree],"&gt;= "&amp;H56)-COUNTIF(Vertices[Out-Degree],"&gt;="&amp;H57)</f>
        <v>0</v>
      </c>
      <c r="J56" s="39">
        <f t="shared" si="13"/>
        <v>53.454545454545475</v>
      </c>
      <c r="K56" s="40">
        <f>COUNTIF(Vertices[Betweenness Centrality],"&gt;= "&amp;J56)-COUNTIF(Vertices[Betweenness Centrality],"&gt;="&amp;J57)</f>
        <v>0</v>
      </c>
      <c r="L56" s="39">
        <f t="shared" si="14"/>
        <v>0.776076654545454</v>
      </c>
      <c r="M56" s="40">
        <f>COUNTIF(Vertices[Closeness Centrality],"&gt;= "&amp;L56)-COUNTIF(Vertices[Closeness Centrality],"&gt;="&amp;L57)</f>
        <v>0</v>
      </c>
      <c r="N56" s="39">
        <f t="shared" si="15"/>
        <v>0.15178265454545464</v>
      </c>
      <c r="O56" s="40">
        <f>COUNTIF(Vertices[Eigenvector Centrality],"&gt;= "&amp;N56)-COUNTIF(Vertices[Eigenvector Centrality],"&gt;="&amp;N57)</f>
        <v>1</v>
      </c>
      <c r="P56" s="39">
        <f t="shared" si="16"/>
        <v>2.7960997272727286</v>
      </c>
      <c r="Q56" s="40">
        <f>COUNTIF(Vertices[PageRank],"&gt;= "&amp;P56)-COUNTIF(Vertices[PageRank],"&gt;="&amp;P57)</f>
        <v>0</v>
      </c>
      <c r="R56" s="39">
        <f t="shared" si="17"/>
        <v>0.7636363636363638</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2</v>
      </c>
      <c r="G57" s="44">
        <f>COUNTIF(Vertices[In-Degree],"&gt;= "&amp;F57)-COUNTIF(Vertices[In-Degree],"&gt;="&amp;F58)</f>
        <v>5</v>
      </c>
      <c r="H57" s="43">
        <f>MAX(Vertices[Out-Degree])</f>
        <v>10</v>
      </c>
      <c r="I57" s="44">
        <f>COUNTIF(Vertices[Out-Degree],"&gt;= "&amp;H57)-COUNTIF(Vertices[Out-Degree],"&gt;="&amp;H58)</f>
        <v>1</v>
      </c>
      <c r="J57" s="43">
        <f>MAX(Vertices[Betweenness Centrality])</f>
        <v>70</v>
      </c>
      <c r="K57" s="44">
        <f>COUNTIF(Vertices[Betweenness Centrality],"&gt;= "&amp;J57)-COUNTIF(Vertices[Betweenness Centrality],"&gt;="&amp;J58)</f>
        <v>1</v>
      </c>
      <c r="L57" s="43">
        <f>MAX(Vertices[Closeness Centrality])</f>
        <v>1</v>
      </c>
      <c r="M57" s="44">
        <f>COUNTIF(Vertices[Closeness Centrality],"&gt;= "&amp;L57)-COUNTIF(Vertices[Closeness Centrality],"&gt;="&amp;L58)</f>
        <v>2</v>
      </c>
      <c r="N57" s="43">
        <f>MAX(Vertices[Eigenvector Centrality])</f>
        <v>0.198763</v>
      </c>
      <c r="O57" s="44">
        <f>COUNTIF(Vertices[Eigenvector Centrality],"&gt;= "&amp;N57)-COUNTIF(Vertices[Eigenvector Centrality],"&gt;="&amp;N58)</f>
        <v>1</v>
      </c>
      <c r="P57" s="43">
        <f>MAX(Vertices[PageRank])</f>
        <v>3.522457</v>
      </c>
      <c r="Q57" s="44">
        <f>COUNTIF(Vertices[PageRank],"&gt;= "&amp;P57)-COUNTIF(Vertices[PageRank],"&gt;="&amp;P58)</f>
        <v>1</v>
      </c>
      <c r="R57" s="43">
        <f>MAX(Vertices[Clustering Coefficient])</f>
        <v>1</v>
      </c>
      <c r="S57" s="47">
        <f>COUNTIF(Vertices[Clustering Coefficient],"&gt;= "&amp;R57)-COUNTIF(Vertices[Clustering Coefficient],"&gt;="&amp;R58)</f>
        <v>5</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2</v>
      </c>
    </row>
    <row r="71" spans="1:2" ht="15">
      <c r="A71" s="35" t="s">
        <v>90</v>
      </c>
      <c r="B71" s="49">
        <f>_xlfn.IFERROR(AVERAGE(Vertices[In-Degree]),NoMetricMessage)</f>
        <v>1.3076923076923077</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10</v>
      </c>
    </row>
    <row r="85" spans="1:2" ht="15">
      <c r="A85" s="35" t="s">
        <v>96</v>
      </c>
      <c r="B85" s="49">
        <f>_xlfn.IFERROR(AVERAGE(Vertices[Out-Degree]),NoMetricMessage)</f>
        <v>1.3076923076923077</v>
      </c>
    </row>
    <row r="86" spans="1:2" ht="15">
      <c r="A86" s="35" t="s">
        <v>97</v>
      </c>
      <c r="B86" s="49">
        <f>_xlfn.IFERROR(MEDIAN(Vertices[Out-Degree]),NoMetricMessage)</f>
        <v>0</v>
      </c>
    </row>
    <row r="97" spans="1:2" ht="15">
      <c r="A97" s="35" t="s">
        <v>100</v>
      </c>
      <c r="B97" s="49">
        <f>IF(COUNT(Vertices[Betweenness Centrality])&gt;0,J2,NoMetricMessage)</f>
        <v>0</v>
      </c>
    </row>
    <row r="98" spans="1:2" ht="15">
      <c r="A98" s="35" t="s">
        <v>101</v>
      </c>
      <c r="B98" s="49">
        <f>IF(COUNT(Vertices[Betweenness Centrality])&gt;0,J57,NoMetricMessage)</f>
        <v>70</v>
      </c>
    </row>
    <row r="99" spans="1:2" ht="15">
      <c r="A99" s="35" t="s">
        <v>102</v>
      </c>
      <c r="B99" s="49">
        <f>_xlfn.IFERROR(AVERAGE(Vertices[Betweenness Centrality]),NoMetricMessage)</f>
        <v>6.153846153846154</v>
      </c>
    </row>
    <row r="100" spans="1:2" ht="15">
      <c r="A100" s="35" t="s">
        <v>103</v>
      </c>
      <c r="B100" s="49">
        <f>_xlfn.IFERROR(MEDIAN(Vertices[Betweenness Centrality]),NoMetricMessage)</f>
        <v>0</v>
      </c>
    </row>
    <row r="111" spans="1:2" ht="15">
      <c r="A111" s="35" t="s">
        <v>106</v>
      </c>
      <c r="B111" s="49">
        <f>IF(COUNT(Vertices[Closeness Centrality])&gt;0,L2,NoMetricMessage)</f>
        <v>0.052632</v>
      </c>
    </row>
    <row r="112" spans="1:2" ht="15">
      <c r="A112" s="35" t="s">
        <v>107</v>
      </c>
      <c r="B112" s="49">
        <f>IF(COUNT(Vertices[Closeness Centrality])&gt;0,L57,NoMetricMessage)</f>
        <v>1</v>
      </c>
    </row>
    <row r="113" spans="1:2" ht="15">
      <c r="A113" s="35" t="s">
        <v>108</v>
      </c>
      <c r="B113" s="49">
        <f>_xlfn.IFERROR(AVERAGE(Vertices[Closeness Centrality]),NoMetricMessage)</f>
        <v>0.20459515384615393</v>
      </c>
    </row>
    <row r="114" spans="1:2" ht="15">
      <c r="A114" s="35" t="s">
        <v>109</v>
      </c>
      <c r="B114" s="49">
        <f>_xlfn.IFERROR(MEDIAN(Vertices[Closeness Centrality]),NoMetricMessage)</f>
        <v>0.055556</v>
      </c>
    </row>
    <row r="125" spans="1:2" ht="15">
      <c r="A125" s="35" t="s">
        <v>112</v>
      </c>
      <c r="B125" s="49">
        <f>IF(COUNT(Vertices[Eigenvector Centrality])&gt;0,N2,NoMetricMessage)</f>
        <v>0</v>
      </c>
    </row>
    <row r="126" spans="1:2" ht="15">
      <c r="A126" s="35" t="s">
        <v>113</v>
      </c>
      <c r="B126" s="49">
        <f>IF(COUNT(Vertices[Eigenvector Centrality])&gt;0,N57,NoMetricMessage)</f>
        <v>0.198763</v>
      </c>
    </row>
    <row r="127" spans="1:2" ht="15">
      <c r="A127" s="35" t="s">
        <v>114</v>
      </c>
      <c r="B127" s="49">
        <f>_xlfn.IFERROR(AVERAGE(Vertices[Eigenvector Centrality]),NoMetricMessage)</f>
        <v>0.07692284615384616</v>
      </c>
    </row>
    <row r="128" spans="1:2" ht="15">
      <c r="A128" s="35" t="s">
        <v>115</v>
      </c>
      <c r="B128" s="49">
        <f>_xlfn.IFERROR(MEDIAN(Vertices[Eigenvector Centrality]),NoMetricMessage)</f>
        <v>0.088889</v>
      </c>
    </row>
    <row r="139" spans="1:2" ht="15">
      <c r="A139" s="35" t="s">
        <v>140</v>
      </c>
      <c r="B139" s="49">
        <f>IF(COUNT(Vertices[PageRank])&gt;0,P2,NoMetricMessage)</f>
        <v>0.449407</v>
      </c>
    </row>
    <row r="140" spans="1:2" ht="15">
      <c r="A140" s="35" t="s">
        <v>141</v>
      </c>
      <c r="B140" s="49">
        <f>IF(COUNT(Vertices[PageRank])&gt;0,P57,NoMetricMessage)</f>
        <v>3.522457</v>
      </c>
    </row>
    <row r="141" spans="1:2" ht="15">
      <c r="A141" s="35" t="s">
        <v>142</v>
      </c>
      <c r="B141" s="49">
        <f>_xlfn.IFERROR(AVERAGE(Vertices[PageRank]),NoMetricMessage)</f>
        <v>0.9999611538461537</v>
      </c>
    </row>
    <row r="142" spans="1:2" ht="15">
      <c r="A142" s="35" t="s">
        <v>143</v>
      </c>
      <c r="B142" s="49">
        <f>_xlfn.IFERROR(MEDIAN(Vertices[PageRank]),NoMetricMessage)</f>
        <v>0.734048</v>
      </c>
    </row>
    <row r="153" spans="1:2" ht="15">
      <c r="A153" s="35" t="s">
        <v>118</v>
      </c>
      <c r="B153" s="49">
        <f>IF(COUNT(Vertices[Clustering Coefficient])&gt;0,R2,NoMetricMessage)</f>
        <v>0</v>
      </c>
    </row>
    <row r="154" spans="1:2" ht="15">
      <c r="A154" s="35" t="s">
        <v>119</v>
      </c>
      <c r="B154" s="49">
        <f>IF(COUNT(Vertices[Clustering Coefficient])&gt;0,R57,NoMetricMessage)</f>
        <v>1</v>
      </c>
    </row>
    <row r="155" spans="1:2" ht="15">
      <c r="A155" s="35" t="s">
        <v>120</v>
      </c>
      <c r="B155" s="49">
        <f>_xlfn.IFERROR(AVERAGE(Vertices[Clustering Coefficient]),NoMetricMessage)</f>
        <v>0.4017094017094017</v>
      </c>
    </row>
    <row r="156" spans="1:2" ht="15">
      <c r="A156" s="35" t="s">
        <v>121</v>
      </c>
      <c r="B156" s="49">
        <f>_xlfn.IFERROR(MEDIAN(Vertices[Clustering Coefficient]),NoMetricMessage)</f>
        <v>0.05555555555555555</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378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379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380</v>
      </c>
      <c r="K7" s="13" t="s">
        <v>381</v>
      </c>
    </row>
    <row r="8" spans="1:11" ht="409.5">
      <c r="A8"/>
      <c r="B8">
        <v>2</v>
      </c>
      <c r="C8">
        <v>2</v>
      </c>
      <c r="D8" t="s">
        <v>61</v>
      </c>
      <c r="E8" t="s">
        <v>61</v>
      </c>
      <c r="H8" t="s">
        <v>73</v>
      </c>
      <c r="J8" t="s">
        <v>382</v>
      </c>
      <c r="K8" s="13" t="s">
        <v>383</v>
      </c>
    </row>
    <row r="9" spans="1:11" ht="409.5">
      <c r="A9"/>
      <c r="B9">
        <v>3</v>
      </c>
      <c r="C9">
        <v>4</v>
      </c>
      <c r="D9" t="s">
        <v>62</v>
      </c>
      <c r="E9" t="s">
        <v>62</v>
      </c>
      <c r="H9" t="s">
        <v>74</v>
      </c>
      <c r="J9" t="s">
        <v>384</v>
      </c>
      <c r="K9" s="13" t="s">
        <v>385</v>
      </c>
    </row>
    <row r="10" spans="1:11" ht="409.5">
      <c r="A10"/>
      <c r="B10">
        <v>4</v>
      </c>
      <c r="D10" t="s">
        <v>63</v>
      </c>
      <c r="E10" t="s">
        <v>63</v>
      </c>
      <c r="H10" t="s">
        <v>75</v>
      </c>
      <c r="J10" t="s">
        <v>386</v>
      </c>
      <c r="K10" s="13" t="s">
        <v>387</v>
      </c>
    </row>
    <row r="11" spans="1:11" ht="15">
      <c r="A11"/>
      <c r="B11">
        <v>5</v>
      </c>
      <c r="D11" t="s">
        <v>46</v>
      </c>
      <c r="E11">
        <v>1</v>
      </c>
      <c r="H11" t="s">
        <v>76</v>
      </c>
      <c r="J11" t="s">
        <v>388</v>
      </c>
      <c r="K11" t="s">
        <v>389</v>
      </c>
    </row>
    <row r="12" spans="1:11" ht="15">
      <c r="A12"/>
      <c r="B12"/>
      <c r="D12" t="s">
        <v>64</v>
      </c>
      <c r="E12">
        <v>2</v>
      </c>
      <c r="H12">
        <v>0</v>
      </c>
      <c r="J12" t="s">
        <v>390</v>
      </c>
      <c r="K12" t="s">
        <v>391</v>
      </c>
    </row>
    <row r="13" spans="1:11" ht="15">
      <c r="A13"/>
      <c r="B13"/>
      <c r="D13">
        <v>1</v>
      </c>
      <c r="E13">
        <v>3</v>
      </c>
      <c r="H13">
        <v>1</v>
      </c>
      <c r="J13" t="s">
        <v>392</v>
      </c>
      <c r="K13" t="s">
        <v>393</v>
      </c>
    </row>
    <row r="14" spans="4:11" ht="15">
      <c r="D14">
        <v>2</v>
      </c>
      <c r="E14">
        <v>4</v>
      </c>
      <c r="H14">
        <v>2</v>
      </c>
      <c r="J14" t="s">
        <v>394</v>
      </c>
      <c r="K14" t="s">
        <v>395</v>
      </c>
    </row>
    <row r="15" spans="4:11" ht="15">
      <c r="D15">
        <v>3</v>
      </c>
      <c r="E15">
        <v>5</v>
      </c>
      <c r="H15">
        <v>3</v>
      </c>
      <c r="J15" t="s">
        <v>396</v>
      </c>
      <c r="K15" t="s">
        <v>397</v>
      </c>
    </row>
    <row r="16" spans="4:11" ht="15">
      <c r="D16">
        <v>4</v>
      </c>
      <c r="E16">
        <v>6</v>
      </c>
      <c r="H16">
        <v>4</v>
      </c>
      <c r="J16" t="s">
        <v>398</v>
      </c>
      <c r="K16" t="s">
        <v>399</v>
      </c>
    </row>
    <row r="17" spans="4:11" ht="15">
      <c r="D17">
        <v>5</v>
      </c>
      <c r="E17">
        <v>7</v>
      </c>
      <c r="H17">
        <v>5</v>
      </c>
      <c r="J17" t="s">
        <v>400</v>
      </c>
      <c r="K17" t="s">
        <v>401</v>
      </c>
    </row>
    <row r="18" spans="4:11" ht="15">
      <c r="D18">
        <v>6</v>
      </c>
      <c r="E18">
        <v>8</v>
      </c>
      <c r="H18">
        <v>6</v>
      </c>
      <c r="J18" t="s">
        <v>402</v>
      </c>
      <c r="K18" t="s">
        <v>403</v>
      </c>
    </row>
    <row r="19" spans="4:11" ht="15">
      <c r="D19">
        <v>7</v>
      </c>
      <c r="E19">
        <v>9</v>
      </c>
      <c r="H19">
        <v>7</v>
      </c>
      <c r="J19" t="s">
        <v>404</v>
      </c>
      <c r="K19" t="s">
        <v>405</v>
      </c>
    </row>
    <row r="20" spans="4:11" ht="15">
      <c r="D20">
        <v>8</v>
      </c>
      <c r="H20">
        <v>8</v>
      </c>
      <c r="J20" t="s">
        <v>406</v>
      </c>
      <c r="K20" t="s">
        <v>407</v>
      </c>
    </row>
    <row r="21" spans="4:11" ht="409.5">
      <c r="D21">
        <v>9</v>
      </c>
      <c r="H21">
        <v>9</v>
      </c>
      <c r="J21" t="s">
        <v>408</v>
      </c>
      <c r="K21" s="13" t="s">
        <v>409</v>
      </c>
    </row>
    <row r="22" spans="4:11" ht="409.5">
      <c r="D22">
        <v>10</v>
      </c>
      <c r="J22" t="s">
        <v>410</v>
      </c>
      <c r="K22" s="13" t="s">
        <v>411</v>
      </c>
    </row>
    <row r="23" spans="4:11" ht="409.5">
      <c r="D23">
        <v>11</v>
      </c>
      <c r="J23" t="s">
        <v>412</v>
      </c>
      <c r="K23" s="13" t="s">
        <v>413</v>
      </c>
    </row>
    <row r="24" spans="10:11" ht="409.5">
      <c r="J24" t="s">
        <v>414</v>
      </c>
      <c r="K24" s="13" t="s">
        <v>558</v>
      </c>
    </row>
    <row r="25" spans="10:11" ht="15">
      <c r="J25" t="s">
        <v>415</v>
      </c>
      <c r="K25" t="b">
        <v>0</v>
      </c>
    </row>
    <row r="26" spans="10:11" ht="15">
      <c r="J26" t="s">
        <v>556</v>
      </c>
      <c r="K26" t="s">
        <v>557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426</v>
      </c>
      <c r="B2" s="128" t="s">
        <v>427</v>
      </c>
      <c r="C2" s="67" t="s">
        <v>428</v>
      </c>
    </row>
    <row r="3" spans="1:3" ht="15">
      <c r="A3" s="127" t="s">
        <v>417</v>
      </c>
      <c r="B3" s="127" t="s">
        <v>417</v>
      </c>
      <c r="C3" s="36">
        <v>5</v>
      </c>
    </row>
    <row r="4" spans="1:3" ht="15">
      <c r="A4" s="127" t="s">
        <v>417</v>
      </c>
      <c r="B4" s="127" t="s">
        <v>418</v>
      </c>
      <c r="C4" s="36">
        <v>1</v>
      </c>
    </row>
    <row r="5" spans="1:3" ht="15">
      <c r="A5" s="127" t="s">
        <v>418</v>
      </c>
      <c r="B5" s="127" t="s">
        <v>417</v>
      </c>
      <c r="C5" s="36">
        <v>12</v>
      </c>
    </row>
    <row r="6" spans="1:3" ht="15">
      <c r="A6" s="127" t="s">
        <v>418</v>
      </c>
      <c r="B6" s="127" t="s">
        <v>418</v>
      </c>
      <c r="C6" s="36">
        <v>4</v>
      </c>
    </row>
    <row r="7" spans="1:3" ht="15">
      <c r="A7" s="127" t="s">
        <v>419</v>
      </c>
      <c r="B7" s="127" t="s">
        <v>419</v>
      </c>
      <c r="C7" s="36">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434</v>
      </c>
      <c r="B1" s="13" t="s">
        <v>435</v>
      </c>
      <c r="C1" s="85" t="s">
        <v>436</v>
      </c>
      <c r="D1" s="85" t="s">
        <v>438</v>
      </c>
      <c r="E1" s="13" t="s">
        <v>437</v>
      </c>
      <c r="F1" s="13" t="s">
        <v>440</v>
      </c>
      <c r="G1" s="13" t="s">
        <v>439</v>
      </c>
      <c r="H1" s="13" t="s">
        <v>441</v>
      </c>
    </row>
    <row r="2" spans="1:8" ht="15">
      <c r="A2" s="89" t="s">
        <v>230</v>
      </c>
      <c r="B2" s="85">
        <v>1</v>
      </c>
      <c r="C2" s="85"/>
      <c r="D2" s="85"/>
      <c r="E2" s="89" t="s">
        <v>230</v>
      </c>
      <c r="F2" s="85">
        <v>1</v>
      </c>
      <c r="G2" s="89" t="s">
        <v>229</v>
      </c>
      <c r="H2" s="85">
        <v>1</v>
      </c>
    </row>
    <row r="3" spans="1:8" ht="15">
      <c r="A3" s="89" t="s">
        <v>229</v>
      </c>
      <c r="B3" s="85">
        <v>1</v>
      </c>
      <c r="C3" s="85"/>
      <c r="D3" s="85"/>
      <c r="E3" s="85"/>
      <c r="F3" s="85"/>
      <c r="G3" s="85"/>
      <c r="H3" s="85"/>
    </row>
    <row r="6" spans="1:8" ht="15" customHeight="1">
      <c r="A6" s="13" t="s">
        <v>443</v>
      </c>
      <c r="B6" s="13" t="s">
        <v>435</v>
      </c>
      <c r="C6" s="85" t="s">
        <v>444</v>
      </c>
      <c r="D6" s="85" t="s">
        <v>438</v>
      </c>
      <c r="E6" s="13" t="s">
        <v>445</v>
      </c>
      <c r="F6" s="13" t="s">
        <v>440</v>
      </c>
      <c r="G6" s="13" t="s">
        <v>446</v>
      </c>
      <c r="H6" s="13" t="s">
        <v>441</v>
      </c>
    </row>
    <row r="7" spans="1:8" ht="15">
      <c r="A7" s="85" t="s">
        <v>232</v>
      </c>
      <c r="B7" s="85">
        <v>1</v>
      </c>
      <c r="C7" s="85"/>
      <c r="D7" s="85"/>
      <c r="E7" s="85" t="s">
        <v>232</v>
      </c>
      <c r="F7" s="85">
        <v>1</v>
      </c>
      <c r="G7" s="85" t="s">
        <v>231</v>
      </c>
      <c r="H7" s="85">
        <v>1</v>
      </c>
    </row>
    <row r="8" spans="1:8" ht="15">
      <c r="A8" s="85" t="s">
        <v>231</v>
      </c>
      <c r="B8" s="85">
        <v>1</v>
      </c>
      <c r="C8" s="85"/>
      <c r="D8" s="85"/>
      <c r="E8" s="85"/>
      <c r="F8" s="85"/>
      <c r="G8" s="85"/>
      <c r="H8" s="85"/>
    </row>
    <row r="11" spans="1:8" ht="15" customHeight="1">
      <c r="A11" s="13" t="s">
        <v>448</v>
      </c>
      <c r="B11" s="13" t="s">
        <v>435</v>
      </c>
      <c r="C11" s="85" t="s">
        <v>452</v>
      </c>
      <c r="D11" s="85" t="s">
        <v>438</v>
      </c>
      <c r="E11" s="13" t="s">
        <v>453</v>
      </c>
      <c r="F11" s="13" t="s">
        <v>440</v>
      </c>
      <c r="G11" s="13" t="s">
        <v>454</v>
      </c>
      <c r="H11" s="13" t="s">
        <v>441</v>
      </c>
    </row>
    <row r="12" spans="1:8" ht="15">
      <c r="A12" s="85" t="s">
        <v>223</v>
      </c>
      <c r="B12" s="85">
        <v>2</v>
      </c>
      <c r="C12" s="85"/>
      <c r="D12" s="85"/>
      <c r="E12" s="85" t="s">
        <v>449</v>
      </c>
      <c r="F12" s="85">
        <v>1</v>
      </c>
      <c r="G12" s="85" t="s">
        <v>223</v>
      </c>
      <c r="H12" s="85">
        <v>1</v>
      </c>
    </row>
    <row r="13" spans="1:8" ht="15">
      <c r="A13" s="85" t="s">
        <v>449</v>
      </c>
      <c r="B13" s="85">
        <v>1</v>
      </c>
      <c r="C13" s="85"/>
      <c r="D13" s="85"/>
      <c r="E13" s="85" t="s">
        <v>450</v>
      </c>
      <c r="F13" s="85">
        <v>1</v>
      </c>
      <c r="G13" s="85" t="s">
        <v>451</v>
      </c>
      <c r="H13" s="85">
        <v>1</v>
      </c>
    </row>
    <row r="14" spans="1:8" ht="15">
      <c r="A14" s="85" t="s">
        <v>450</v>
      </c>
      <c r="B14" s="85">
        <v>1</v>
      </c>
      <c r="C14" s="85"/>
      <c r="D14" s="85"/>
      <c r="E14" s="85" t="s">
        <v>223</v>
      </c>
      <c r="F14" s="85">
        <v>1</v>
      </c>
      <c r="G14" s="85" t="s">
        <v>212</v>
      </c>
      <c r="H14" s="85">
        <v>1</v>
      </c>
    </row>
    <row r="15" spans="1:8" ht="15">
      <c r="A15" s="85" t="s">
        <v>451</v>
      </c>
      <c r="B15" s="85">
        <v>1</v>
      </c>
      <c r="C15" s="85"/>
      <c r="D15" s="85"/>
      <c r="E15" s="85"/>
      <c r="F15" s="85"/>
      <c r="G15" s="85"/>
      <c r="H15" s="85"/>
    </row>
    <row r="16" spans="1:8" ht="15">
      <c r="A16" s="85" t="s">
        <v>212</v>
      </c>
      <c r="B16" s="85">
        <v>1</v>
      </c>
      <c r="C16" s="85"/>
      <c r="D16" s="85"/>
      <c r="E16" s="85"/>
      <c r="F16" s="85"/>
      <c r="G16" s="85"/>
      <c r="H16" s="85"/>
    </row>
    <row r="19" spans="1:8" ht="15" customHeight="1">
      <c r="A19" s="13" t="s">
        <v>456</v>
      </c>
      <c r="B19" s="13" t="s">
        <v>435</v>
      </c>
      <c r="C19" s="85" t="s">
        <v>463</v>
      </c>
      <c r="D19" s="85" t="s">
        <v>438</v>
      </c>
      <c r="E19" s="13" t="s">
        <v>464</v>
      </c>
      <c r="F19" s="13" t="s">
        <v>440</v>
      </c>
      <c r="G19" s="13" t="s">
        <v>466</v>
      </c>
      <c r="H19" s="13" t="s">
        <v>441</v>
      </c>
    </row>
    <row r="20" spans="1:8" ht="15">
      <c r="A20" s="91" t="s">
        <v>457</v>
      </c>
      <c r="B20" s="91">
        <v>5</v>
      </c>
      <c r="C20" s="91"/>
      <c r="D20" s="91"/>
      <c r="E20" s="91" t="s">
        <v>462</v>
      </c>
      <c r="F20" s="91">
        <v>3</v>
      </c>
      <c r="G20" s="91" t="s">
        <v>467</v>
      </c>
      <c r="H20" s="91">
        <v>2</v>
      </c>
    </row>
    <row r="21" spans="1:8" ht="15">
      <c r="A21" s="91" t="s">
        <v>458</v>
      </c>
      <c r="B21" s="91">
        <v>1</v>
      </c>
      <c r="C21" s="91"/>
      <c r="D21" s="91"/>
      <c r="E21" s="91" t="s">
        <v>223</v>
      </c>
      <c r="F21" s="91">
        <v>3</v>
      </c>
      <c r="G21" s="91"/>
      <c r="H21" s="91"/>
    </row>
    <row r="22" spans="1:8" ht="15">
      <c r="A22" s="91" t="s">
        <v>459</v>
      </c>
      <c r="B22" s="91">
        <v>0</v>
      </c>
      <c r="C22" s="91"/>
      <c r="D22" s="91"/>
      <c r="E22" s="91" t="s">
        <v>224</v>
      </c>
      <c r="F22" s="91">
        <v>2</v>
      </c>
      <c r="G22" s="91"/>
      <c r="H22" s="91"/>
    </row>
    <row r="23" spans="1:8" ht="15">
      <c r="A23" s="91" t="s">
        <v>460</v>
      </c>
      <c r="B23" s="91">
        <v>70</v>
      </c>
      <c r="C23" s="91"/>
      <c r="D23" s="91"/>
      <c r="E23" s="91" t="s">
        <v>222</v>
      </c>
      <c r="F23" s="91">
        <v>2</v>
      </c>
      <c r="G23" s="91"/>
      <c r="H23" s="91"/>
    </row>
    <row r="24" spans="1:8" ht="15">
      <c r="A24" s="91" t="s">
        <v>461</v>
      </c>
      <c r="B24" s="91">
        <v>76</v>
      </c>
      <c r="C24" s="91"/>
      <c r="D24" s="91"/>
      <c r="E24" s="91" t="s">
        <v>221</v>
      </c>
      <c r="F24" s="91">
        <v>2</v>
      </c>
      <c r="G24" s="91"/>
      <c r="H24" s="91"/>
    </row>
    <row r="25" spans="1:8" ht="15">
      <c r="A25" s="91" t="s">
        <v>223</v>
      </c>
      <c r="B25" s="91">
        <v>5</v>
      </c>
      <c r="C25" s="91"/>
      <c r="D25" s="91"/>
      <c r="E25" s="91" t="s">
        <v>214</v>
      </c>
      <c r="F25" s="91">
        <v>2</v>
      </c>
      <c r="G25" s="91"/>
      <c r="H25" s="91"/>
    </row>
    <row r="26" spans="1:8" ht="15">
      <c r="A26" s="91" t="s">
        <v>462</v>
      </c>
      <c r="B26" s="91">
        <v>4</v>
      </c>
      <c r="C26" s="91"/>
      <c r="D26" s="91"/>
      <c r="E26" s="91" t="s">
        <v>220</v>
      </c>
      <c r="F26" s="91">
        <v>2</v>
      </c>
      <c r="G26" s="91"/>
      <c r="H26" s="91"/>
    </row>
    <row r="27" spans="1:8" ht="15">
      <c r="A27" s="91" t="s">
        <v>224</v>
      </c>
      <c r="B27" s="91">
        <v>3</v>
      </c>
      <c r="C27" s="91"/>
      <c r="D27" s="91"/>
      <c r="E27" s="91" t="s">
        <v>465</v>
      </c>
      <c r="F27" s="91">
        <v>2</v>
      </c>
      <c r="G27" s="91"/>
      <c r="H27" s="91"/>
    </row>
    <row r="28" spans="1:8" ht="15">
      <c r="A28" s="91" t="s">
        <v>222</v>
      </c>
      <c r="B28" s="91">
        <v>3</v>
      </c>
      <c r="C28" s="91"/>
      <c r="D28" s="91"/>
      <c r="E28" s="91"/>
      <c r="F28" s="91"/>
      <c r="G28" s="91"/>
      <c r="H28" s="91"/>
    </row>
    <row r="29" spans="1:8" ht="15">
      <c r="A29" s="91" t="s">
        <v>221</v>
      </c>
      <c r="B29" s="91">
        <v>3</v>
      </c>
      <c r="C29" s="91"/>
      <c r="D29" s="91"/>
      <c r="E29" s="91"/>
      <c r="F29" s="91"/>
      <c r="G29" s="91"/>
      <c r="H29" s="91"/>
    </row>
    <row r="32" spans="1:8" ht="15" customHeight="1">
      <c r="A32" s="13" t="s">
        <v>470</v>
      </c>
      <c r="B32" s="13" t="s">
        <v>435</v>
      </c>
      <c r="C32" s="85" t="s">
        <v>479</v>
      </c>
      <c r="D32" s="85" t="s">
        <v>438</v>
      </c>
      <c r="E32" s="13" t="s">
        <v>480</v>
      </c>
      <c r="F32" s="13" t="s">
        <v>440</v>
      </c>
      <c r="G32" s="85" t="s">
        <v>481</v>
      </c>
      <c r="H32" s="85" t="s">
        <v>441</v>
      </c>
    </row>
    <row r="33" spans="1:8" ht="15">
      <c r="A33" s="91" t="s">
        <v>471</v>
      </c>
      <c r="B33" s="91">
        <v>3</v>
      </c>
      <c r="C33" s="91"/>
      <c r="D33" s="91"/>
      <c r="E33" s="91" t="s">
        <v>471</v>
      </c>
      <c r="F33" s="91">
        <v>2</v>
      </c>
      <c r="G33" s="91"/>
      <c r="H33" s="91"/>
    </row>
    <row r="34" spans="1:8" ht="15">
      <c r="A34" s="91" t="s">
        <v>472</v>
      </c>
      <c r="B34" s="91">
        <v>3</v>
      </c>
      <c r="C34" s="91"/>
      <c r="D34" s="91"/>
      <c r="E34" s="91" t="s">
        <v>472</v>
      </c>
      <c r="F34" s="91">
        <v>2</v>
      </c>
      <c r="G34" s="91"/>
      <c r="H34" s="91"/>
    </row>
    <row r="35" spans="1:8" ht="15">
      <c r="A35" s="91" t="s">
        <v>473</v>
      </c>
      <c r="B35" s="91">
        <v>3</v>
      </c>
      <c r="C35" s="91"/>
      <c r="D35" s="91"/>
      <c r="E35" s="91" t="s">
        <v>473</v>
      </c>
      <c r="F35" s="91">
        <v>2</v>
      </c>
      <c r="G35" s="91"/>
      <c r="H35" s="91"/>
    </row>
    <row r="36" spans="1:8" ht="15">
      <c r="A36" s="91" t="s">
        <v>474</v>
      </c>
      <c r="B36" s="91">
        <v>3</v>
      </c>
      <c r="C36" s="91"/>
      <c r="D36" s="91"/>
      <c r="E36" s="91" t="s">
        <v>474</v>
      </c>
      <c r="F36" s="91">
        <v>2</v>
      </c>
      <c r="G36" s="91"/>
      <c r="H36" s="91"/>
    </row>
    <row r="37" spans="1:8" ht="15">
      <c r="A37" s="91" t="s">
        <v>475</v>
      </c>
      <c r="B37" s="91">
        <v>3</v>
      </c>
      <c r="C37" s="91"/>
      <c r="D37" s="91"/>
      <c r="E37" s="91" t="s">
        <v>475</v>
      </c>
      <c r="F37" s="91">
        <v>2</v>
      </c>
      <c r="G37" s="91"/>
      <c r="H37" s="91"/>
    </row>
    <row r="38" spans="1:8" ht="15">
      <c r="A38" s="91" t="s">
        <v>476</v>
      </c>
      <c r="B38" s="91">
        <v>3</v>
      </c>
      <c r="C38" s="91"/>
      <c r="D38" s="91"/>
      <c r="E38" s="91" t="s">
        <v>476</v>
      </c>
      <c r="F38" s="91">
        <v>2</v>
      </c>
      <c r="G38" s="91"/>
      <c r="H38" s="91"/>
    </row>
    <row r="39" spans="1:8" ht="15">
      <c r="A39" s="91" t="s">
        <v>477</v>
      </c>
      <c r="B39" s="91">
        <v>3</v>
      </c>
      <c r="C39" s="91"/>
      <c r="D39" s="91"/>
      <c r="E39" s="91" t="s">
        <v>477</v>
      </c>
      <c r="F39" s="91">
        <v>2</v>
      </c>
      <c r="G39" s="91"/>
      <c r="H39" s="91"/>
    </row>
    <row r="40" spans="1:8" ht="15">
      <c r="A40" s="91" t="s">
        <v>478</v>
      </c>
      <c r="B40" s="91">
        <v>2</v>
      </c>
      <c r="C40" s="91"/>
      <c r="D40" s="91"/>
      <c r="E40" s="91"/>
      <c r="F40" s="91"/>
      <c r="G40" s="91"/>
      <c r="H40" s="91"/>
    </row>
    <row r="43" spans="1:8" ht="15" customHeight="1">
      <c r="A43" s="85" t="s">
        <v>484</v>
      </c>
      <c r="B43" s="85" t="s">
        <v>435</v>
      </c>
      <c r="C43" s="85" t="s">
        <v>486</v>
      </c>
      <c r="D43" s="85" t="s">
        <v>438</v>
      </c>
      <c r="E43" s="85" t="s">
        <v>487</v>
      </c>
      <c r="F43" s="85" t="s">
        <v>440</v>
      </c>
      <c r="G43" s="85" t="s">
        <v>490</v>
      </c>
      <c r="H43" s="85" t="s">
        <v>441</v>
      </c>
    </row>
    <row r="44" spans="1:8" ht="15">
      <c r="A44" s="85"/>
      <c r="B44" s="85"/>
      <c r="C44" s="85"/>
      <c r="D44" s="85"/>
      <c r="E44" s="85"/>
      <c r="F44" s="85"/>
      <c r="G44" s="85"/>
      <c r="H44" s="85"/>
    </row>
    <row r="46" spans="1:8" ht="15" customHeight="1">
      <c r="A46" s="13" t="s">
        <v>485</v>
      </c>
      <c r="B46" s="13" t="s">
        <v>435</v>
      </c>
      <c r="C46" s="13" t="s">
        <v>488</v>
      </c>
      <c r="D46" s="13" t="s">
        <v>438</v>
      </c>
      <c r="E46" s="13" t="s">
        <v>489</v>
      </c>
      <c r="F46" s="13" t="s">
        <v>440</v>
      </c>
      <c r="G46" s="13" t="s">
        <v>491</v>
      </c>
      <c r="H46" s="13" t="s">
        <v>441</v>
      </c>
    </row>
    <row r="47" spans="1:8" ht="15">
      <c r="A47" s="85" t="s">
        <v>224</v>
      </c>
      <c r="B47" s="85">
        <v>3</v>
      </c>
      <c r="C47" s="85" t="s">
        <v>213</v>
      </c>
      <c r="D47" s="85">
        <v>1</v>
      </c>
      <c r="E47" s="85" t="s">
        <v>224</v>
      </c>
      <c r="F47" s="85">
        <v>2</v>
      </c>
      <c r="G47" s="85" t="s">
        <v>215</v>
      </c>
      <c r="H47" s="85">
        <v>1</v>
      </c>
    </row>
    <row r="48" spans="1:8" ht="15">
      <c r="A48" s="85" t="s">
        <v>223</v>
      </c>
      <c r="B48" s="85">
        <v>3</v>
      </c>
      <c r="C48" s="85" t="s">
        <v>224</v>
      </c>
      <c r="D48" s="85">
        <v>1</v>
      </c>
      <c r="E48" s="85" t="s">
        <v>223</v>
      </c>
      <c r="F48" s="85">
        <v>2</v>
      </c>
      <c r="G48" s="85"/>
      <c r="H48" s="85"/>
    </row>
    <row r="49" spans="1:8" ht="15">
      <c r="A49" s="85" t="s">
        <v>222</v>
      </c>
      <c r="B49" s="85">
        <v>3</v>
      </c>
      <c r="C49" s="85" t="s">
        <v>223</v>
      </c>
      <c r="D49" s="85">
        <v>1</v>
      </c>
      <c r="E49" s="85" t="s">
        <v>222</v>
      </c>
      <c r="F49" s="85">
        <v>2</v>
      </c>
      <c r="G49" s="85"/>
      <c r="H49" s="85"/>
    </row>
    <row r="50" spans="1:8" ht="15">
      <c r="A50" s="85" t="s">
        <v>221</v>
      </c>
      <c r="B50" s="85">
        <v>3</v>
      </c>
      <c r="C50" s="85" t="s">
        <v>222</v>
      </c>
      <c r="D50" s="85">
        <v>1</v>
      </c>
      <c r="E50" s="85" t="s">
        <v>221</v>
      </c>
      <c r="F50" s="85">
        <v>2</v>
      </c>
      <c r="G50" s="85"/>
      <c r="H50" s="85"/>
    </row>
    <row r="51" spans="1:8" ht="15">
      <c r="A51" s="85" t="s">
        <v>214</v>
      </c>
      <c r="B51" s="85">
        <v>3</v>
      </c>
      <c r="C51" s="85" t="s">
        <v>221</v>
      </c>
      <c r="D51" s="85">
        <v>1</v>
      </c>
      <c r="E51" s="85" t="s">
        <v>214</v>
      </c>
      <c r="F51" s="85">
        <v>2</v>
      </c>
      <c r="G51" s="85"/>
      <c r="H51" s="85"/>
    </row>
    <row r="52" spans="1:8" ht="15">
      <c r="A52" s="85" t="s">
        <v>220</v>
      </c>
      <c r="B52" s="85">
        <v>3</v>
      </c>
      <c r="C52" s="85" t="s">
        <v>214</v>
      </c>
      <c r="D52" s="85">
        <v>1</v>
      </c>
      <c r="E52" s="85" t="s">
        <v>220</v>
      </c>
      <c r="F52" s="85">
        <v>2</v>
      </c>
      <c r="G52" s="85"/>
      <c r="H52" s="85"/>
    </row>
    <row r="53" spans="1:8" ht="15">
      <c r="A53" s="85" t="s">
        <v>213</v>
      </c>
      <c r="B53" s="85">
        <v>2</v>
      </c>
      <c r="C53" s="85" t="s">
        <v>220</v>
      </c>
      <c r="D53" s="85">
        <v>1</v>
      </c>
      <c r="E53" s="85" t="s">
        <v>213</v>
      </c>
      <c r="F53" s="85">
        <v>1</v>
      </c>
      <c r="G53" s="85"/>
      <c r="H53" s="85"/>
    </row>
    <row r="54" spans="1:8" ht="15">
      <c r="A54" s="85" t="s">
        <v>219</v>
      </c>
      <c r="B54" s="85">
        <v>1</v>
      </c>
      <c r="C54" s="85"/>
      <c r="D54" s="85"/>
      <c r="E54" s="85" t="s">
        <v>219</v>
      </c>
      <c r="F54" s="85">
        <v>1</v>
      </c>
      <c r="G54" s="85"/>
      <c r="H54" s="85"/>
    </row>
    <row r="55" spans="1:8" ht="15">
      <c r="A55" s="85" t="s">
        <v>218</v>
      </c>
      <c r="B55" s="85">
        <v>1</v>
      </c>
      <c r="C55" s="85"/>
      <c r="D55" s="85"/>
      <c r="E55" s="85" t="s">
        <v>218</v>
      </c>
      <c r="F55" s="85">
        <v>1</v>
      </c>
      <c r="G55" s="85"/>
      <c r="H55" s="85"/>
    </row>
    <row r="56" spans="1:8" ht="15">
      <c r="A56" s="85" t="s">
        <v>217</v>
      </c>
      <c r="B56" s="85">
        <v>1</v>
      </c>
      <c r="C56" s="85"/>
      <c r="D56" s="85"/>
      <c r="E56" s="85" t="s">
        <v>217</v>
      </c>
      <c r="F56" s="85">
        <v>1</v>
      </c>
      <c r="G56" s="85"/>
      <c r="H56" s="85"/>
    </row>
    <row r="59" spans="1:8" ht="15" customHeight="1">
      <c r="A59" s="13" t="s">
        <v>496</v>
      </c>
      <c r="B59" s="13" t="s">
        <v>435</v>
      </c>
      <c r="C59" s="13" t="s">
        <v>497</v>
      </c>
      <c r="D59" s="13" t="s">
        <v>438</v>
      </c>
      <c r="E59" s="13" t="s">
        <v>498</v>
      </c>
      <c r="F59" s="13" t="s">
        <v>440</v>
      </c>
      <c r="G59" s="13" t="s">
        <v>499</v>
      </c>
      <c r="H59" s="13" t="s">
        <v>441</v>
      </c>
    </row>
    <row r="60" spans="1:8" ht="15">
      <c r="A60" s="124" t="s">
        <v>223</v>
      </c>
      <c r="B60" s="85">
        <v>19336</v>
      </c>
      <c r="C60" s="124" t="s">
        <v>223</v>
      </c>
      <c r="D60" s="85">
        <v>19336</v>
      </c>
      <c r="E60" s="124" t="s">
        <v>213</v>
      </c>
      <c r="F60" s="85">
        <v>12021</v>
      </c>
      <c r="G60" s="124" t="s">
        <v>212</v>
      </c>
      <c r="H60" s="85">
        <v>5174</v>
      </c>
    </row>
    <row r="61" spans="1:8" ht="15">
      <c r="A61" s="124" t="s">
        <v>213</v>
      </c>
      <c r="B61" s="85">
        <v>12021</v>
      </c>
      <c r="C61" s="124" t="s">
        <v>220</v>
      </c>
      <c r="D61" s="85">
        <v>4798</v>
      </c>
      <c r="E61" s="124" t="s">
        <v>219</v>
      </c>
      <c r="F61" s="85">
        <v>9583</v>
      </c>
      <c r="G61" s="124" t="s">
        <v>215</v>
      </c>
      <c r="H61" s="85">
        <v>4136</v>
      </c>
    </row>
    <row r="62" spans="1:8" ht="15">
      <c r="A62" s="124" t="s">
        <v>219</v>
      </c>
      <c r="B62" s="85">
        <v>9583</v>
      </c>
      <c r="C62" s="124" t="s">
        <v>214</v>
      </c>
      <c r="D62" s="85">
        <v>3024</v>
      </c>
      <c r="E62" s="124" t="s">
        <v>216</v>
      </c>
      <c r="F62" s="85">
        <v>8261</v>
      </c>
      <c r="G62" s="124"/>
      <c r="H62" s="85"/>
    </row>
    <row r="63" spans="1:8" ht="15">
      <c r="A63" s="124" t="s">
        <v>216</v>
      </c>
      <c r="B63" s="85">
        <v>8261</v>
      </c>
      <c r="C63" s="124" t="s">
        <v>221</v>
      </c>
      <c r="D63" s="85">
        <v>2805</v>
      </c>
      <c r="E63" s="124" t="s">
        <v>217</v>
      </c>
      <c r="F63" s="85">
        <v>4123</v>
      </c>
      <c r="G63" s="124"/>
      <c r="H63" s="85"/>
    </row>
    <row r="64" spans="1:8" ht="15">
      <c r="A64" s="124" t="s">
        <v>212</v>
      </c>
      <c r="B64" s="85">
        <v>5174</v>
      </c>
      <c r="C64" s="124" t="s">
        <v>222</v>
      </c>
      <c r="D64" s="85">
        <v>511</v>
      </c>
      <c r="E64" s="124" t="s">
        <v>218</v>
      </c>
      <c r="F64" s="85">
        <v>3665</v>
      </c>
      <c r="G64" s="124"/>
      <c r="H64" s="85"/>
    </row>
    <row r="65" spans="1:8" ht="15">
      <c r="A65" s="124" t="s">
        <v>220</v>
      </c>
      <c r="B65" s="85">
        <v>4798</v>
      </c>
      <c r="C65" s="124" t="s">
        <v>224</v>
      </c>
      <c r="D65" s="85">
        <v>422</v>
      </c>
      <c r="E65" s="124"/>
      <c r="F65" s="85"/>
      <c r="G65" s="124"/>
      <c r="H65" s="85"/>
    </row>
    <row r="66" spans="1:8" ht="15">
      <c r="A66" s="124" t="s">
        <v>215</v>
      </c>
      <c r="B66" s="85">
        <v>4136</v>
      </c>
      <c r="C66" s="124"/>
      <c r="D66" s="85"/>
      <c r="E66" s="124"/>
      <c r="F66" s="85"/>
      <c r="G66" s="124"/>
      <c r="H66" s="85"/>
    </row>
    <row r="67" spans="1:8" ht="15">
      <c r="A67" s="124" t="s">
        <v>217</v>
      </c>
      <c r="B67" s="85">
        <v>4123</v>
      </c>
      <c r="C67" s="124"/>
      <c r="D67" s="85"/>
      <c r="E67" s="124"/>
      <c r="F67" s="85"/>
      <c r="G67" s="124"/>
      <c r="H67" s="85"/>
    </row>
    <row r="68" spans="1:8" ht="15">
      <c r="A68" s="124" t="s">
        <v>218</v>
      </c>
      <c r="B68" s="85">
        <v>3665</v>
      </c>
      <c r="C68" s="124"/>
      <c r="D68" s="85"/>
      <c r="E68" s="124"/>
      <c r="F68" s="85"/>
      <c r="G68" s="124"/>
      <c r="H68" s="85"/>
    </row>
    <row r="69" spans="1:8" ht="15">
      <c r="A69" s="124" t="s">
        <v>214</v>
      </c>
      <c r="B69" s="85">
        <v>3024</v>
      </c>
      <c r="C69" s="124"/>
      <c r="D69" s="85"/>
      <c r="E69" s="124"/>
      <c r="F69" s="85"/>
      <c r="G69" s="124"/>
      <c r="H69" s="85"/>
    </row>
  </sheetData>
  <hyperlinks>
    <hyperlink ref="A2" r:id="rId1" display="https://twitter.com/thepmcf/status/1080841215262711808"/>
    <hyperlink ref="A3" r:id="rId2" display="http://www.socialrivals.com/"/>
    <hyperlink ref="E2" r:id="rId3" display="https://twitter.com/thepmcf/status/1080841215262711808"/>
    <hyperlink ref="G2" r:id="rId4" display="http://www.socialrivals.com/"/>
  </hyperlinks>
  <printOptions/>
  <pageMargins left="0.7" right="0.7" top="0.75" bottom="0.75" header="0.3" footer="0.3"/>
  <pageSetup orientation="portrait" paperSize="9"/>
  <tableParts>
    <tablePart r:id="rId12"/>
    <tablePart r:id="rId7"/>
    <tablePart r:id="rId8"/>
    <tablePart r:id="rId10"/>
    <tablePart r:id="rId11"/>
    <tablePart r:id="rId5"/>
    <tablePart r:id="rId9"/>
    <tablePart r:id="rId6"/>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2019-01-23T19:37:51Z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