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<sst xmlns="http://schemas.openxmlformats.org/spreadsheetml/2006/main" count="6037" uniqueCount="1814">
  <si>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</si>
  <si>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</si>
  <si>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</si>
  <si>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</si>
  <si>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</si>
  <si>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</si>
  <si>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</si>
  <si>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</si>
  <si>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</si>
  <si>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</si>
  <si>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</si>
  <si>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</si>
  <si>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</si>
  <si>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</si>
  <si>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</si>
  <si>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</si>
  <si>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</si>
  <si>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</si>
  <si>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</si>
  <si>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</si>
  <si>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</si>
  <si>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</si>
  <si>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</si>
  <si>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</si>
  <si>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</si>
  <si>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</si>
  <si>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</si>
  <si>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</si>
  <si>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</si>
  <si>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</si>
  <si>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</si>
  <si>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</si>
  <si>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</si>
  <si>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</si>
  <si>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</si>
  <si>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</si>
  <si>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</si>
  <si>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</si>
  <si>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</si>
  <si>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</si>
  <si>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</si>
  <si>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</si>
  <si>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</si>
  <si>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</si>
  <si>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</si>
  <si>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</si>
  <si>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</si>
  <si>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</si>
  <si>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</si>
  <si>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</si>
  <si>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</si>
  <si>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</si>
  <si>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</si>
  <si>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</si>
  <si>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</si>
  <si>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</si>
  <si>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</si>
  <si>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</si>
  <si>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</si>
  <si>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</si>
  <si>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</si>
  <si>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</si>
  <si>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</si>
  <si>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</si>
  <si>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</si>
  <si>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</si>
  <si>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</si>
  <si>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</si>
  <si>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</si>
  <si>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</si>
  <si>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</si>
  <si>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</si>
  <si>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</si>
  <si>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</si>
  <si>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</si>
  <si>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</si>
  <si>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</si>
  <si>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</si>
  <si>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</si>
  <si>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</si>
  <si>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</si>
  <si>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</si>
  <si>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</si>
  <si>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</si>
  <si>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</si>
  <si>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</si>
  <si>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</si>
  <si>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</si>
  <si>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</si>
  <si>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</si>
  <si>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</si>
  <si>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</si>
  <si>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</si>
  <si>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</si>
  <si>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</si>
  <si>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</si>
  <si>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</si>
  <si>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</si>
  <si>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</si>
  <si>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</si>
  <si>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</si>
  <si>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</si>
  <si>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</si>
  <si>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</si>
  <si>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</si>
  <si>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</si>
  <si>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</si>
  <si>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</si>
  <si>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</si>
  <si>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</si>
  <si>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</si>
  <si>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</si>
  <si>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</si>
  <si>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</si>
  <si>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</si>
  <si>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</si>
  <si>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</si>
  <si>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</si>
  <si>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</si>
  <si>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</si>
  <si>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</si>
  <si>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</si>
  <si>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</si>
  <si>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</si>
  <si>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</si>
  <si>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</si>
  <si>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</si>
  <si>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</si>
  <si>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</si>
  <si>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</si>
  <si>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</si>
  <si>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</si>
  <si>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</si>
  <si>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</si>
  <si>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</si>
  <si>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</si>
  <si>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</si>
  <si>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</si>
  <si>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</si>
  <si>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</si>
  <si>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</si>
  <si>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</si>
  <si>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</si>
  <si>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</si>
  <si>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</si>
  <si>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</si>
  <si>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</si>
  <si>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</si>
  <si>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</si>
  <si>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</si>
  <si>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</si>
  <si>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</si>
  <si>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</si>
  <si>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</si>
  <si>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</si>
  <si>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</si>
  <si>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</si>
  <si>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</si>
  <si>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</si>
  <si>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</si>
  <si>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</si>
  <si>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</si>
  <si>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</si>
  <si>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</si>
  <si>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</si>
  <si>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</si>
  <si>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</si>
  <si>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</si>
  <si>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</si>
  <si>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</si>
  <si>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</si>
  <si>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</si>
  <si>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</si>
  <si>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</si>
  <si>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</si>
  <si>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</si>
  <si>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</si>
  <si>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</si>
  <si>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</si>
  <si>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</si>
  <si>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</si>
  <si>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</si>
  <si>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</si>
  <si>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</si>
  <si>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</si>
  <si>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</si>
  <si>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</si>
  <si>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</si>
  <si>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</si>
  <si>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</si>
  <si>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</si>
  <si>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</si>
  <si>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</si>
  <si>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</si>
  <si>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</si>
  <si>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</si>
  <si>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</si>
  <si>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</si>
  <si>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</si>
  <si>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</si>
  <si>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</si>
  <si>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</si>
  <si>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</si>
  <si>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</si>
  <si>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</si>
  <si>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</si>
  <si>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</si>
  <si>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</si>
  <si>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</si>
  <si>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</si>
  <si>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</si>
  <si>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</si>
  <si>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</si>
  <si>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</si>
  <si>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</si>
  <si>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</si>
  <si>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</si>
  <si>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</si>
  <si>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</si>
  <si>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</si>
  <si>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</si>
  <si>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</si>
  <si>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</si>
  <si>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</si>
  <si>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</si>
  <si>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</si>
  <si>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</si>
  <si>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</si>
  <si>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</si>
  <si>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</si>
  <si>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</si>
  <si>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</si>
  <si>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</si>
  <si>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</si>
  <si>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</si>
  <si>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</si>
  <si>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</si>
  <si>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</si>
  <si>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UC84iafmAbgYg2oa_-3QUUKQ</t>
  </si>
  <si>
    <t>UCSyJCoAav3PDjONN0T4xdjw</t>
  </si>
  <si>
    <t>UCvkAeUr1JJ61Grs40E-fSGQ</t>
  </si>
  <si>
    <t>UCUn24Z_vYKrPjaiPZdutWMQ</t>
  </si>
  <si>
    <t>UCUTeE-as508hixQrNVHO7vQ</t>
  </si>
  <si>
    <t>UCc0q1ipPdTrzCWWsDPKTE_g</t>
  </si>
  <si>
    <t>UCvyGWhEbMxtdznAGgit0VZw</t>
  </si>
  <si>
    <t>UCUyaTH0R5YOHrJENYNUw-Ug</t>
  </si>
  <si>
    <t>UCqeU1fMh_NhAx3teVQ7YYtw</t>
  </si>
  <si>
    <t>UCgLnwiK5ydVeIBlxwUkuLGw</t>
  </si>
  <si>
    <t>UCdSt0UlIdni98FI6e8i1HMA</t>
  </si>
  <si>
    <t>UCxNBIrM4Img_jfSSZ6RygGg</t>
  </si>
  <si>
    <t>UCEVX4zX1f7L3kiW7NYJ3USw</t>
  </si>
  <si>
    <t>UCMeYPU1YfXjxsUa6QXWsfjg</t>
  </si>
  <si>
    <t>UCqdBowHTw_EPhxKTH8CFM8A</t>
  </si>
  <si>
    <t>UCAgmleS9wdeTBPjnZQWjFCw</t>
  </si>
  <si>
    <t>UC1_E8NeF5QHY2dtdLRBCCLA</t>
  </si>
  <si>
    <t>UC92bY3vyxakfwsWiDazd9_w</t>
  </si>
  <si>
    <t>UCO0BUaDD-ICY6lt-yZSEW-A</t>
  </si>
  <si>
    <t>UCYWwT1w9Yv2qpKChz9Hoomg</t>
  </si>
  <si>
    <t>UCcUHc0sopUl3Zoi1otJP3lQ</t>
  </si>
  <si>
    <t>UCsL03z5sLvA0t8sjwDWf_3A</t>
  </si>
  <si>
    <t>UCHaQIcmzy6_Hr4W8MuLtZoQ</t>
  </si>
  <si>
    <t>UC-4-LSPMEGXHZqGJNaXLnEw</t>
  </si>
  <si>
    <t>UCxvaRkdxJnvwqokP28A39Dw</t>
  </si>
  <si>
    <t>UC-bnCEG6CUesjPqM1UXPHJQ</t>
  </si>
  <si>
    <t>UCUkS5FumCzDHdGu3JVnej8Q</t>
  </si>
  <si>
    <t>UC8yH-uI81UUtEMDsowQyx1g</t>
  </si>
  <si>
    <t>UC7z436f18FU7J14H1xj2L4g</t>
  </si>
  <si>
    <t>UCBxcAy_pS-jN5Q7vvVissXg</t>
  </si>
  <si>
    <t>UCixMKBGxWZb9QzO3C-8ZUcg</t>
  </si>
  <si>
    <t>UCvnYe5ZbewHESm-Z-_sTDTQ</t>
  </si>
  <si>
    <t>UC4ljqPLcbaPXA8KI73vPLhg</t>
  </si>
  <si>
    <t>UCm0u5u7zlWVOFzy-YHjK24w</t>
  </si>
  <si>
    <t>UCT6EoNl-Na6TYfdKtNTCY5A</t>
  </si>
  <si>
    <t>UCQfwfsi5VrQ8yKZ-UWmAEFg</t>
  </si>
  <si>
    <t>UC526t1OIrjqS7bvHnEFJIBw</t>
  </si>
  <si>
    <t>UC3vaRg3KrzNK7qkqDxIPchw</t>
  </si>
  <si>
    <t>UCEO_1xjI50wCbR4qgqVJ62A</t>
  </si>
  <si>
    <t>UChjx21hiMTlfhgfwBHsckIw</t>
  </si>
  <si>
    <t>UChXz-P6I7WEkj4SrLhck-9A</t>
  </si>
  <si>
    <t>UCWJTR_566mevyIG30OveSBQ</t>
  </si>
  <si>
    <t>UCVRcC3-UyDw6AoxP_x12FzQ</t>
  </si>
  <si>
    <t>UCIkVw-7ZJmnvoSLvR_EVDuw</t>
  </si>
  <si>
    <t>UC8o1tPWDu-BCJNUJzxdsdZQ</t>
  </si>
  <si>
    <t>UCjUQ4hGAkwC5BPHBwx9nvbQ</t>
  </si>
  <si>
    <t>UCt-cEUPgKELe_mjOcXAzCxw</t>
  </si>
  <si>
    <t>UCYwBJTolTeCZFMr8r775XeA</t>
  </si>
  <si>
    <t>UCaBeiVeg5hadiDDss6L5gtg</t>
  </si>
  <si>
    <t>UC8WjHLxKVyYykE382cYP60w</t>
  </si>
  <si>
    <t>UCfArVUQJlz5wMyjQlHvz3jA</t>
  </si>
  <si>
    <t>UCO8OT3BRG-5wBT8iw221U2A</t>
  </si>
  <si>
    <t>UCGH_hGQtNbU45-QrTWyoI-Q</t>
  </si>
  <si>
    <t>UC_ZD1HujKRBFY4iOvPzYGdA</t>
  </si>
  <si>
    <t>UCXaUIMYGBNzAIe4a7bt88ng</t>
  </si>
  <si>
    <t>UCNTrgkXCcj7CQJlehJqBgCQ</t>
  </si>
  <si>
    <t>UCLAlhhCrES_TuopULN19-yQ</t>
  </si>
  <si>
    <t>UCXa4DFnMX6Brmh3mAqvjUOQ</t>
  </si>
  <si>
    <t>UCS-EWpwAltfMYa927MkQPTw</t>
  </si>
  <si>
    <t>UCU2bqZXef_k6nvgCQJs4r2A</t>
  </si>
  <si>
    <t>UCDWWvVklzjZAbCF-uvJbn5Q</t>
  </si>
  <si>
    <t>UCnvEQ72X4zUvfykkduU-zEg</t>
  </si>
  <si>
    <t>UCb5yAzMlnPA0R3MZdUo90qw</t>
  </si>
  <si>
    <t>UCZtW_bJ0fIcVfxb4h4HbVrg</t>
  </si>
  <si>
    <t>UCk1zLD771AWUPA6SieoPK-Q</t>
  </si>
  <si>
    <t>UCqNqnSJ9_Aa1qTwzuVCv_Ng</t>
  </si>
  <si>
    <t>UC2TypNPSjOzKxTFc82N7BCw</t>
  </si>
  <si>
    <t>UCTeW3jGTyEtRefG0sMeY0vw</t>
  </si>
  <si>
    <t>UCyryTouSFjIUOJpuYXjkOgg</t>
  </si>
  <si>
    <t>UC2vqaGFPXK5rtxmUgayj9Cg</t>
  </si>
  <si>
    <t>UCv5TeVZtogFh83_Fji72NIQ</t>
  </si>
  <si>
    <t>UCM-2xp_NNRkBBMxfmIR0ygA</t>
  </si>
  <si>
    <t>UCDJblvjBQLEgvuBerVeXghg</t>
  </si>
  <si>
    <t>UCeu0i04HgzQh0IN2dYfnG6w</t>
  </si>
  <si>
    <t>UCfAOHkpWLhMhsskxTvgujUQ</t>
  </si>
  <si>
    <t>UCrau40237Ed_blgZOlQkjpg</t>
  </si>
  <si>
    <t>UCHZtSCW3ghRV7JG_hl-DnMQ</t>
  </si>
  <si>
    <t>UCbuBW2iv0g8nZ0DTdxIlhFA</t>
  </si>
  <si>
    <t>UCY130g5fSy_oh0AxxbgKe4g</t>
  </si>
  <si>
    <t>UCfhJXlUiGqG-J4ERYY5cGTg</t>
  </si>
  <si>
    <t>UCqOD5SDKQOk3gzU_qWyUPrw</t>
  </si>
  <si>
    <t>UCU6GIAzpLLQFzWCCqI_8SCQ</t>
  </si>
  <si>
    <t>UCcW_9GEcSNRGLlnojavzWsQ</t>
  </si>
  <si>
    <t>UCEjyeDvIkZ9gvyLeHNZerUw</t>
  </si>
  <si>
    <t>UC69FYPrUTpRIql2_AVhebwA</t>
  </si>
  <si>
    <t>UCnD77H0YexgPR9VV0SN4izg</t>
  </si>
  <si>
    <t>UCGojjKra09WLZc28x_iynrQ</t>
  </si>
  <si>
    <t>UClOtw2dELCrOWJhhtF4HJEg</t>
  </si>
  <si>
    <t>UCWnOoFnOrYODGSSxnImeuCA</t>
  </si>
  <si>
    <t>UCIHYPsgrsRcDrK0rKDQYpBA</t>
  </si>
  <si>
    <t>UCcqxoFOjYOOHcJg5wiMv0GQ</t>
  </si>
  <si>
    <t>UCtp5mQQN5HoE6f4Wx0A3ZOA</t>
  </si>
  <si>
    <t>UCaNilsIXHf0nO8Q5QCEukNw</t>
  </si>
  <si>
    <t>UCPnaVjGWd2ekpKUesS_wSuw</t>
  </si>
  <si>
    <t>UCLnBwkuJ2MEgNjpDe9sPD6w</t>
  </si>
  <si>
    <t>UCgETU6S0dQmJyWePbdoh4kA</t>
  </si>
  <si>
    <t>UCj8cTpfZlegheWKAFZ-M6pg</t>
  </si>
  <si>
    <t>UCjtvdNVtO1Uqs_onUo3qUSw</t>
  </si>
  <si>
    <t>UCumqm7IRDZvBuJWMwt5x-xw</t>
  </si>
  <si>
    <t>UCqmzrUyTOODhZZny-yyYxWg</t>
  </si>
  <si>
    <t>UCtHt_3e9Et7a0OzBsOCd_Jg</t>
  </si>
  <si>
    <t>UCdl-KU6TwCmyK8wkyNLVF_w</t>
  </si>
  <si>
    <t>UC8W62yD4KJ8tF8U7zy55d_g</t>
  </si>
  <si>
    <t>UCeRXGLLtH8R3jiwTx4QMePQ</t>
  </si>
  <si>
    <t>UCrNm7Y0iwXHwsQATSjiHCRg</t>
  </si>
  <si>
    <t>UCyKikC5yhzTXZvVk0VW4cRg</t>
  </si>
  <si>
    <t>UCbWVBsrodqC1H8TJp3GjiXA</t>
  </si>
  <si>
    <t>UC5WTOypNmrJictESxhQ9fGQ</t>
  </si>
  <si>
    <t>UCPU4FlfeDnW7IRkKoCQyjyQ</t>
  </si>
  <si>
    <t>UCIQeNXIAIs4AEGN64C0KK0w</t>
  </si>
  <si>
    <t>UCMTBIObLI9rZtgssGTqo-vw</t>
  </si>
  <si>
    <t>UC7p6T0RX4u_Wqw_3Hl-sgaA</t>
  </si>
  <si>
    <t>UCX-rsu7tL2MC2rXtP06PuZA</t>
  </si>
  <si>
    <t>UCYJEJH2oquLGc7OhuFpLZ6Q</t>
  </si>
  <si>
    <t>UCMtWzzIWhCQTXluffXezc5A</t>
  </si>
  <si>
    <t>UCdPa1hLybim7XHwo38VsbYw</t>
  </si>
  <si>
    <t>UC3H22zDC6zESdN96sz_FBTw</t>
  </si>
  <si>
    <t>UCls5dO55jPdBcmsJ82Z0dSw</t>
  </si>
  <si>
    <t>UC35jHN7lZNm5bbwDecwYOHw</t>
  </si>
  <si>
    <t>UCJe-QaoJy1Z6USj1jqkHsxg</t>
  </si>
  <si>
    <t>UCQ5YrWroyp2APoRpa-2Zr1g</t>
  </si>
  <si>
    <t>UCYpwE_ZWp_d1juqu_l7B6tA</t>
  </si>
  <si>
    <t>UCMmB-QL7OjIj3E4q0q4qUrA</t>
  </si>
  <si>
    <t>UCwx5DtPIzTU8mD7GVPGj6xw</t>
  </si>
  <si>
    <t>UCAEVSxRog9de2XxDsE-TENg</t>
  </si>
  <si>
    <t>UC-JfCXqVFa0u1a9npkncseg</t>
  </si>
  <si>
    <t>UCWmoyW5UdMXu3iC4uFd3lNg</t>
  </si>
  <si>
    <t>UCVxHoKmb3caNsK62i08t6jA</t>
  </si>
  <si>
    <t>UCDfWr6zw8JXvAbT19m2lxfA</t>
  </si>
  <si>
    <t>UCPA1ozsJSo6nat5Ge_lPAoQ</t>
  </si>
  <si>
    <t>UCD9Q7qkG0ReL5AVJNk_N0DQ</t>
  </si>
  <si>
    <t>UC3bC6U4pFHacee5RahQYSDQ</t>
  </si>
  <si>
    <t>UCz2VJsU0L-e1OP4xwr4PHrg</t>
  </si>
  <si>
    <t>UCT-ZQLKcrWAQJkyVgKleMFg</t>
  </si>
  <si>
    <t>UC4EBLyv8FBuRC-OqRCBI1Ag</t>
  </si>
  <si>
    <t>UCwa_5NKJfN0Li4TsAgPPSfQ</t>
  </si>
  <si>
    <t>UCi_h48HRXz_Kznn-eNI-quA</t>
  </si>
  <si>
    <t>UCmXX0HRsPEzYI272VFxzC0w</t>
  </si>
  <si>
    <t>UCvGQj9GliSYQTkIpHAP32sw</t>
  </si>
  <si>
    <t>UCVcMchUDm3C9tVQzmJpka4g</t>
  </si>
  <si>
    <t>UCXyTH0aBRwsNlG_05k-XM6A</t>
  </si>
  <si>
    <t>UCmLRbJDeT4YMDaOWWLEvCFA</t>
  </si>
  <si>
    <t>UCw7po6y6isu4SW6IfnBikjg</t>
  </si>
  <si>
    <t>UCgp4A6I8LCWrhUzn-5SbKvA</t>
  </si>
  <si>
    <t>UCoEOlZceiKyFyviH3J0vEmQ</t>
  </si>
  <si>
    <t>UCg0ZDNRBmKRAJ3PHyGMQo3g</t>
  </si>
  <si>
    <t>UC5Bv_JKHGoCPWBluXuNdM_w</t>
  </si>
  <si>
    <t>UCALLAENkKwaoG6-ZcHLv73w</t>
  </si>
  <si>
    <t>UC5bG0_VCeOhJLGp_jGZJLbQ</t>
  </si>
  <si>
    <t>UC_3Lza_tjzG7gWz5_xCMYCw</t>
  </si>
  <si>
    <t>UCQ89NlPmz86wtPUg69Mdcuw</t>
  </si>
  <si>
    <t>UCTSbplgzZUG4bnnLbAYyj0g</t>
  </si>
  <si>
    <t>UCvLPRhhEHLSFE8Gc15mGLZg</t>
  </si>
  <si>
    <t>UCsba91UGiQLFOb5DN3Z_AdQ</t>
  </si>
  <si>
    <t>UCuTzX94ENhBJONvB2ahw24w</t>
  </si>
  <si>
    <t>UCxoVagz0y4JRxktrzzVtHmw</t>
  </si>
  <si>
    <t>UCJvZYspa9qxhoccHGQfYIFA</t>
  </si>
  <si>
    <t>UCRxYH6tdy4P41qF4iAPy4ZA</t>
  </si>
  <si>
    <t>UCYmZ7xGJwG-V865ObZd0lXQ</t>
  </si>
  <si>
    <t>UCPLKy4Ypb4mfblbjJI8Aljw</t>
  </si>
  <si>
    <t>UCsp9phy3joAWoHzrmhmzz4A</t>
  </si>
  <si>
    <t>UCWqolFV4CJo2qqyyRUlHPpA</t>
  </si>
  <si>
    <t>UCQMML3hAsx-Mz9j9ZN0tThQ</t>
  </si>
  <si>
    <t>UCtIzL8Ug1H6BYQZt2ItSbzg</t>
  </si>
  <si>
    <t>UCNPwHixBIfM2rtdL5AB0pLQ</t>
  </si>
  <si>
    <t>UCrUXf4iY0j_IQGpFPsTQa1Q</t>
  </si>
  <si>
    <t>128, 128, 128</t>
  </si>
  <si>
    <t>Red</t>
  </si>
  <si>
    <t>Commented Video</t>
  </si>
  <si>
    <t>Posted Video</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</si>
  <si>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</si>
  <si>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</si>
  <si>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</si>
  <si>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</si>
  <si>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</si>
  <si>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</si>
  <si>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</si>
  <si>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</si>
  <si>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</si>
  <si>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</si>
  <si>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</si>
  <si>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</si>
  <si>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</si>
  <si>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</si>
  <si>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</si>
  <si>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We just laugh _xD83D__xDE02__xD83D__xDE02__xD83D__xDE02__xD83D__xDE02__xD83D__xDE02__xD83D__xDE02_</t>
  </si>
  <si>
    <t>This is fair assessment _xD83D__xDC4F_ &lt;br&gt;This with non-political lenses. &lt;br&gt;Good check on the government and its positive _xD83D__xDC4C_ _xD83D__xDC4D_ _xD83D__xDC4F_</t>
  </si>
  <si>
    <t>Reading the comments, it’s like you Ndc folks wish Ghana will even go to HIPC so Ndc can win power 2024.</t>
  </si>
  <si>
    <t>Why government will not complete the infrastructures that are rooting before starting the new one&amp;#39;s</t>
  </si>
  <si>
    <t>Ashawo president  Akuffo Addo, where is the agenda 111, you&amp;#39;re a fool and you think about your party not your country, kwasia next time</t>
  </si>
  <si>
    <t>Greetings...I&amp;#39;m  one of the protesters that came to LTV alausa ikeja on Friday.... Pls......the peaceful protesters of X-pression workers are counting on you (LTV) pls we are expecting to have been on the news</t>
  </si>
  <si>
    <t>Excellent!&lt;br&gt;&lt;br&gt;Google: Judi Grace StoryCorps.</t>
  </si>
  <si>
    <t>Well done Ethiopia and the EPRDF government who is allowing this to take place! I&amp;#39;m loving all the progress!</t>
  </si>
  <si>
    <t>Of course Actual Africans wont be in charge of there own DNA.</t>
  </si>
  <si>
    <t>They&amp;#39;re talking about a Genomic centre while showing videos of surgical equipment, Do they think we&amp;#39;re stupid???</t>
  </si>
  <si>
    <t>yeah right, it&amp;#39;s all roses and moonshine in genomics. come on... do some REAL investigation.</t>
  </si>
  <si>
    <t>White people are very creepy</t>
  </si>
  <si>
    <t>I love this journalists voice _xD83D__xDE0D_</t>
  </si>
  <si>
    <t>nice info sir _xD83D__xDC4D_</t>
  </si>
  <si>
    <t>it is an honor for African beekeeping</t>
  </si>
  <si>
    <t>God bless you my mum</t>
  </si>
  <si>
    <t>This is a disgrace how the anc  f up every thing</t>
  </si>
  <si>
    <t>Please vote for change South Africa!_xD83D__xDE22_</t>
  </si>
  <si>
    <t>The current loadshedding matter is very detrimental to health sector hence government needs to adopt strategic plan to address this disastrous situation.</t>
  </si>
  <si>
    <t>So i wonder how the Cadres feel that stole millions and billions. Money that could be available for these hospitals. Please dont bring equality in to this. The ANC stole everything leaving South Africa vulnerable. They have blood on their hands.</t>
  </si>
  <si>
    <t>How you gonna treat those Zimbabweans crossing the birders now. Oh Dear.</t>
  </si>
  <si>
    <t>Shocking disregard by the government of the most vulnerable poor of South Africa</t>
  </si>
  <si>
    <t>where i can a data tahnks for this tutorial</t>
  </si>
  <si>
    <t>please do clip about satellite soil moisture (AMSR2) validation streamflow using SWAT model.</t>
  </si>
  <si>
    <t>I came across your site for the first time and i saw some of your videos. Great job Fitse...keep it up bro</t>
  </si>
  <si>
    <t>Check the file here: &lt;a href="https://drive.google.com/file/d/1ssca1FWJE6FRmSYvgyCHGs_W5ocOvRI7/view?usp=drive_web"&gt;https://drive.google.com/file/d/1ssca1FWJE6FRmSYvgyCHGs_W5ocOvRI7/view?usp=drive_web&lt;/a&gt;&lt;br&gt;Before asking for request please don&amp;#39;t forget to subscribe.</t>
  </si>
  <si>
    <t>Great work,  Can you add the shape file of this tutorials. Eg. Country of Ethiopia</t>
  </si>
  <si>
    <t>It’s about time instead of essential equipment coming from India or other countries that’s used.</t>
  </si>
  <si>
    <t>It&amp;#39;s very clean there nice _xD83C__xDF89_</t>
  </si>
  <si>
    <t>It&amp;#39;s ok you told us though ❤</t>
  </si>
  <si>
    <t>&lt;a href="https://youtu.be/6oTKO3XiN34"&gt;https://youtu.be/6oTKO3XiN34&lt;/a&gt;&lt;br&gt;Great job Team ABC. Keep up the good work. THUMBS UP _xD83D__xDC4D__xD83D__xDC4D_</t>
  </si>
  <si>
    <t>Top stuff ABC foundation awesome job_xD83D__xDC4F__xD83C__xDFFE_</t>
  </si>
  <si>
    <t>This is interesting</t>
  </si>
  <si>
    <t>Awesome  video  sister  juliet  &lt;br&gt;If u were single  u should  have  being my wife and take you to  my country  Sierra Leone  Freetown  from  your bro in Germany  &lt;br&gt;You your husband  and  your  son are the  best family  I have  ever  seen  in my life continue  the  good  job</t>
  </si>
  <si>
    <t>Another job WELL DONE, Juliet ! ! Kehinde Omo Naija, doing great thangs in the Gambia, BIG UPS to you my brother ! ! Y&amp;#39;all keep up the great and blessed work ! ! Rastafari Bless &amp;amp; One Love ! !</t>
  </si>
  <si>
    <t>Excellent healthcare facility, excellent staff, excellent treatment</t>
  </si>
  <si>
    <t>This is private care so not comparable to the NHS. Other than that an informative video.</t>
  </si>
  <si>
    <t>Gambia s having a good doctors in the diaspora an they are coming home to develop there own country</t>
  </si>
  <si>
    <t>Thank you for this important information, Juliet.</t>
  </si>
  <si>
    <t>Gambia, one of Africa`s best kept secret.</t>
  </si>
  <si>
    <t>How much do it cost to see the Doctor that you seeing right now</t>
  </si>
  <si>
    <t>Thank you for another excellent video sister! Much love to you!_xD83D__xDC9C__xD83C__xDF0D_</t>
  </si>
  <si>
    <t>I dont understand people who critize our sister because l heard from a white couple here in South Africa who relocate from UK saying that NHS is not okay than what they are getting here they say the waiting list for operations is not fast enough so Juliet is talking the truth</t>
  </si>
  <si>
    <t>Getting to the heart of what concerns the transitioning diaspora</t>
  </si>
  <si>
    <t>Juliet did you hurt your foot, waist or feet as you seem to be walking uncomfortably in one or two clips?</t>
  </si>
  <si>
    <t>Than you Juliet, beautiful, efficient and great services !!!! much love</t>
  </si>
  <si>
    <t>Seems like their processes are all optimized and streamlined too. Excellent!</t>
  </si>
  <si>
    <t>Very interesting video to watch , thank you Juliet .</t>
  </si>
  <si>
    <t>Do you pay for medical care in the Gambia sister Juliet please reply.</t>
  </si>
  <si>
    <t>Nice Job sister _xD83D__xDE0D_</t>
  </si>
  <si>
    <t>Thanks you my African  Queen keep it up real good _xD83D__xDC8B__xD83D__xDC8B_</t>
  </si>
  <si>
    <t>Give us for  a tour  of the groceries  stores  or  markets</t>
  </si>
  <si>
    <t>Your videos are wonderful. It&amp;#39;s answering so many questions I have. Great work!</t>
  </si>
  <si>
    <t>Thank you Juliet!</t>
  </si>
  <si>
    <t>Love you sister</t>
  </si>
  <si>
    <t>What is the doctors name ?</t>
  </si>
  <si>
    <t>Thanks for sharing such important information.</t>
  </si>
  <si>
    <t>Black people are getting more greater and bigger in  development, and awareness. God bless Bla xit family _xD83D__xDC6A_. God bless Africa.</t>
  </si>
  <si>
    <t>Nice post.</t>
  </si>
  <si>
    <t>Good job sister.  Another job opportunity for our bla xit family:  medical equipment consultant, drug consultant.</t>
  </si>
  <si>
    <t>This is what I am use to seeing in Jamaica. Black professionals in all areas of life. Good job Juliet.</t>
  </si>
  <si>
    <t>Black Queen, keep the flag flying. We love everything you represent.</t>
  </si>
  <si>
    <t>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t>
  </si>
  <si>
    <t>Wow DEEEEEP stuff</t>
  </si>
  <si>
    <t>Very enlightening vlog❤️</t>
  </si>
  <si>
    <t>Juliet,&lt;br&gt;OMG!!! I&amp;#39;ve only watched 4mins and 34 sec into your blog and I&amp;#39;m so impressed. Your are an African Queen. I really feel like I could move to the Gambia_xD83D__xDE37__xD83E__xDD12__xD83E__xDD15_. Please up the good work and thank you for answering my questions about healthcare in the Gambia. You are priceless!!</t>
  </si>
  <si>
    <t>Thank you for putting up the video. Now we can all see how American media really is.  Had us thinking negative thoughts about africa. Its not civilized to lie american media.</t>
  </si>
  <si>
    <t>Some comments on here SMH never happy</t>
  </si>
  <si>
    <t>All praises ...........................we are so happy to see high standard of services in the Gambia   ............thank you for bringing those information to us sister Juliet ...........Hallelu-Yah.</t>
  </si>
  <si>
    <t>Great work Juliet. Keep spreading the word.</t>
  </si>
  <si>
    <t>Hit the like button  before watching</t>
  </si>
  <si>
    <t>We Africans are great intelligent people. If only we could unit and love each other.</t>
  </si>
  <si>
    <t>Hey Queen Africa :D This is a very good video :) Always nice to see you, Juliet :) &lt;br&gt;&lt;br&gt;Absolutely great work :) &lt;br&gt;&lt;br&gt;//East African brother in Sweden</t>
  </si>
  <si>
    <t>I really love the content of your channel.  I am planning to move to the Gambia in the future. Thank you so much for giving such important information.</t>
  </si>
  <si>
    <t>Thanks again sis juliet.  My concern was sickle cell but it seems the clinic is more than up to speed when it comes to medical facilities and care. Its great that you listen to our needs . Family through snd through. Bless up sis.</t>
  </si>
  <si>
    <t>This is awesome hope our people with health care skills are watching storm the continent with your clinics you don’t have to work for someone forever</t>
  </si>
  <si>
    <t>I like ur dress just like a mandingo woman</t>
  </si>
  <si>
    <t>I&amp;#39;ve been missing my family thanks Ryan</t>
  </si>
  <si>
    <t>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t>
  </si>
  <si>
    <t>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t>
  </si>
  <si>
    <t>Paul Gomez? _xD83D__xDE15_&lt;br&gt; The originality in Africans...yeah! _xD83D__xDE01_</t>
  </si>
  <si>
    <t>Everybody sick in th UK hence the long wait when you go hospital &lt;a href="http://www.youtube.com/results?search_query=%23healinginafrika"&gt;#healinginafrika&lt;/a&gt;</t>
  </si>
  <si>
    <t>Thanks for shining the light on The Gambia and answering questions with proof rather than words only. You are doing a great thing for people all over the world by obliterating the myths of Africa. THIS is AFRICA❤</t>
  </si>
  <si>
    <t>Yes !_xD83D__xDC9C_The Gambia has great clinics and great medical staffs my husband Buba S is the nursing supervisor for Hands-On care in The Gambia...when I got sick these people took very good care of me. They actually have nurses that make house calls! _xD83D__xDC9C_I love the Gambia_xD83C__xDF0D_</t>
  </si>
  <si>
    <t>Very nice facility _xD83D__xDC4F__xD83C__xDFFE_</t>
  </si>
  <si>
    <t>Thank you juliet❤️</t>
  </si>
  <si>
    <t>See,  now we getting deep. _xD83D__xDE4C__xD83C__xDFFF_This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t>
  </si>
  <si>
    <t>Love the Gambia Julia you are influencing me to change some of my returnee plans...lol</t>
  </si>
  <si>
    <t>Friendly people</t>
  </si>
  <si>
    <t>just happy to see all the doctors are black for the first time</t>
  </si>
  <si>
    <t>_xD83D__xDC68__xD83C__xDFFF_‍_xD83D__xDD2C__xD83D__xDC69__xD83C__xDFFF_‍_xD83D__xDD2C__xD83E__xDD7C_&lt;br&gt;_xD83D__xDC4D__xD83C__xDFFF__xD83D__xDC4D__xD83C__xDFFF_&lt;br&gt;✊_xD83C__xDFFF_✌_xD83C__xDFFF_&lt;br&gt;Empathy...&lt;br&gt;_xD83E__xDD34__xD83C__xDFFF_</t>
  </si>
  <si>
    <t>Great video _xD83D__xDE4F__xD83D__xDE4F_thanks</t>
  </si>
  <si>
    <t>Your dress is lovely so are you.</t>
  </si>
  <si>
    <t>a beautiful country Gambia un dia ganareis la copa de afri k muy disciplinados los futbolistas de este precioso pais</t>
  </si>
  <si>
    <t>Do they need Respiratory Therapist??   If so, I&amp;#39;m packing my bags today!</t>
  </si>
  <si>
    <t>Great Video Juliet Very Informative.</t>
  </si>
  <si>
    <t>Ambassador Jules_xD83D__xDE18__xD83D__xDE18__xD83D__xDE18_</t>
  </si>
  <si>
    <t>I ❤ Gambia _xD83C__xDDEC__xD83C__xDDF2__xD83C__xDDEC__xD83C__xDDF2__xD83C__xDDEC__xD83C__xDDF2__xD83D__xDCAA__xD83C__xDFFE__xD83D__xDCAA__xD83C__xDFFE__xD83D__xDCAA__xD83C__xDFFE_</t>
  </si>
  <si>
    <t>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t>
  </si>
  <si>
    <t>Good info.......Bla xit family God bless ur family. Lookin forward TO donate TO ur channel peace n blessi......_xD83D__xDC4D_</t>
  </si>
  <si>
    <t>Please drop info for Nurses, Physician Assistant and Doctors who may be interested in volunteering in this clinic, other clinics/hospitals and how they can open and register private clinics and hospitals. Thanks</t>
  </si>
  <si>
    <t>Just loved it. God is saying arise and shine my first born child Africa</t>
  </si>
  <si>
    <t>Thanks for the very informative vlogs you do. I love love The Gambia and cannot wait to return in 2020 and I&amp;#39;ve learnt a lot from your detailed  vlogs. Also I love your top. Did you buy it ready made or was it sewn for you?</t>
  </si>
  <si>
    <t>Like that you made it clear that your friend’s child’s infection came from England.</t>
  </si>
  <si>
    <t>Very great job,i&amp;#39;m African i am interesting to know more about this hospital please how can i reach to juliet i live in Germany.</t>
  </si>
  <si>
    <t>Wow nice one</t>
  </si>
  <si>
    <t>That is a first class clinic. Wow . Good to know this clinic exists in Ghana. I am impressed and proud too. ✝️✝️✝️_xD83D__xDC95_</t>
  </si>
  <si>
    <t>Our black people in the states have so many illnesses and sickness most is due to improper diet they are diabetic, and on dialysis, but some of the greatest Doctors i have come across in the states are from Africa. Thanks for sharing!</t>
  </si>
  <si>
    <t>Thanks for showing the hospital, it looks very clean._xD83D__xDC4D__xD83C__xDFFC__xD83D__xDE4F__xD83C__xDFFE_</t>
  </si>
  <si>
    <t>Very important_xD83E__xDD81__xD83C__xDF05_thanks Juliet. Medical is important for diaspora who are use to ease of care with or without the bedside manners. This will assure us with intentions☕_xD83E__xDD17_Africa unite!_xD83D__xDD6F__xD83C__xDFB5__xD83C__xDFB6_one love_xD83E__xDD17_what about healthcare insurances or you pay as you go? Major surgery e.g child birth or main organs  e.g heart, kidney, lungs, gyn, the eyes, dentist? Walk good_xD83D__xDE4F_hope to meet you some day.</t>
  </si>
  <si>
    <t>Danke schön fantastisch  Krankenhaus  und trotzdem sauber in Gambia ich liebe dich _xD83D__xDE19__xD83D__xDE19__xD83D__xDE19_ schwester  ich bin aus Deutschland  und mag deine  Videos</t>
  </si>
  <si>
    <t>When Africa  gets  more  Doctors  and engineer&amp;#39;s can you imagine what a beautiful  place  Africa  will be how much do you have to pay and if so how  do you pay  is it an on going  payment  or pay when you go to see a doctor.  Thank for  this.</t>
  </si>
  <si>
    <t>Is this private or public facility?</t>
  </si>
  <si>
    <t>Do you think health care is better in Gambia as opposed to Ghana?</t>
  </si>
  <si>
    <t>Oh my Goodness.  This was so refreshing to see.  Thank you Sistar for the work you do.  I&amp;#39;m coming to visit.</t>
  </si>
  <si>
    <t>Good information, and the clinic is centrally located near to transportation</t>
  </si>
  <si>
    <t>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t>
  </si>
  <si>
    <t>See within 20m min what?  Wow the ER in chicago you wait so long that you just leave. If anyone in comments from Chicago they will verify what goes on here</t>
  </si>
  <si>
    <t>really nice video.</t>
  </si>
  <si>
    <t>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_xD83D__xDC83_</t>
  </si>
  <si>
    <t>Awesome video...great work Juliet!!_xD83D__xDE04__xD83E__xDD17_</t>
  </si>
  <si>
    <t>_xD83D__xDCAB_✊_xD83C__xDFFF_</t>
  </si>
  <si>
    <t>Greetings Great _xD83D__xDC4D_ stuff stay bless</t>
  </si>
  <si>
    <t>If you have Medicaid or Medicare insurance_xD83D__xDE0F_ Will American Insurance cover in your country???</t>
  </si>
  <si>
    <t>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t>
  </si>
  <si>
    <t>How much does medical care cost?</t>
  </si>
  <si>
    <t>And yet too date,  Department of Health, has not admitted foreign qualified doctors?!</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</si>
  <si>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</si>
  <si>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</si>
  <si>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</si>
  <si>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</si>
  <si>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</si>
  <si>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</si>
  <si>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</si>
  <si>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</si>
  <si>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</si>
  <si>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</si>
  <si>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</si>
  <si>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</si>
  <si>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</si>
  <si>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</si>
  <si>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</si>
  <si>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Gapoti</t>
  </si>
  <si>
    <t>george amoh</t>
  </si>
  <si>
    <t>Prince One</t>
  </si>
  <si>
    <t>st Vhh</t>
  </si>
  <si>
    <t>Kwame Appiah</t>
  </si>
  <si>
    <t>Ty Classic</t>
  </si>
  <si>
    <t>acajudi100</t>
  </si>
  <si>
    <t>Aksum አክሱም ፣ ንግሥት</t>
  </si>
  <si>
    <t>Zo Harborage</t>
  </si>
  <si>
    <t>The Duke</t>
  </si>
  <si>
    <t>reptilespantoso</t>
  </si>
  <si>
    <t>Frêßhy Vïbê</t>
  </si>
  <si>
    <t>Salt of The Earth</t>
  </si>
  <si>
    <t>Mandiri Plafond</t>
  </si>
  <si>
    <t>Mohamed Ferchichi</t>
  </si>
  <si>
    <t>Isaac Yeboah</t>
  </si>
  <si>
    <t>wollie</t>
  </si>
  <si>
    <t>Momosa Jibrezy</t>
  </si>
  <si>
    <t>Zithulele Sidwell Ntshudu</t>
  </si>
  <si>
    <t>_xD83D__xDC51_of Glory_xD83D__xDC51_</t>
  </si>
  <si>
    <t>shanaaz cloete</t>
  </si>
  <si>
    <t>Ronwyn Von Staden</t>
  </si>
  <si>
    <t>Abdoulaye Leye</t>
  </si>
  <si>
    <t>Man U</t>
  </si>
  <si>
    <t>Yohannes Tefera</t>
  </si>
  <si>
    <t>Tech-tutor with Fitsum</t>
  </si>
  <si>
    <t>NIZAMUDDIN THONICHAL</t>
  </si>
  <si>
    <t>Alana Weaver</t>
  </si>
  <si>
    <t>Stars&amp;stripes</t>
  </si>
  <si>
    <t>bobby watson</t>
  </si>
  <si>
    <t>WildSideLife</t>
  </si>
  <si>
    <t>chule1100</t>
  </si>
  <si>
    <t>kapita kapita</t>
  </si>
  <si>
    <t>Robinho jalloh</t>
  </si>
  <si>
    <t>Owen E.</t>
  </si>
  <si>
    <t>Reality</t>
  </si>
  <si>
    <t>divergence films</t>
  </si>
  <si>
    <t>leandre jousua</t>
  </si>
  <si>
    <t>Sunkiss Flower</t>
  </si>
  <si>
    <t>Past Present History Documentaries</t>
  </si>
  <si>
    <t>mr Cool</t>
  </si>
  <si>
    <t>Vinessa Bryant</t>
  </si>
  <si>
    <t>Sharai Makara</t>
  </si>
  <si>
    <t>Rudy Grissom</t>
  </si>
  <si>
    <t>gantswood</t>
  </si>
  <si>
    <t>Mayela Queen</t>
  </si>
  <si>
    <t>sd&amp;h 99</t>
  </si>
  <si>
    <t>Rahma Hussein</t>
  </si>
  <si>
    <t>Janet Facey</t>
  </si>
  <si>
    <t>Mundo Isatou</t>
  </si>
  <si>
    <t>patricia osakwe</t>
  </si>
  <si>
    <t>jesula smith</t>
  </si>
  <si>
    <t>Laticia Taylor</t>
  </si>
  <si>
    <t>Jennifer Eaddy</t>
  </si>
  <si>
    <t>Modou Gaye</t>
  </si>
  <si>
    <t>Motivate Demonstrate</t>
  </si>
  <si>
    <t>Dr Diane Thompson, MD</t>
  </si>
  <si>
    <t>DESTINY'S CHILD.</t>
  </si>
  <si>
    <t>Isiejeme0829</t>
  </si>
  <si>
    <t>Safiya Nuur</t>
  </si>
  <si>
    <t>jahbless4ever</t>
  </si>
  <si>
    <t>Danny Boy</t>
  </si>
  <si>
    <t>Blessed Suama</t>
  </si>
  <si>
    <t>Prince 2020 MUSIC</t>
  </si>
  <si>
    <t>kxwork</t>
  </si>
  <si>
    <t>Melissa Pierre</t>
  </si>
  <si>
    <t>Freecourse Media</t>
  </si>
  <si>
    <t>J M</t>
  </si>
  <si>
    <t>Hebrew Israelites</t>
  </si>
  <si>
    <t>David Omigie</t>
  </si>
  <si>
    <t>Alpha Jallow</t>
  </si>
  <si>
    <t>Maali</t>
  </si>
  <si>
    <t>CarpeDiem</t>
  </si>
  <si>
    <t>Ms.Thankful Always</t>
  </si>
  <si>
    <t>mass gussy</t>
  </si>
  <si>
    <t>The BRIDGE 54</t>
  </si>
  <si>
    <t>j Miller</t>
  </si>
  <si>
    <t>Muleire &amp; sons investments limited</t>
  </si>
  <si>
    <t>TEEJAY</t>
  </si>
  <si>
    <t>Quirx 1701</t>
  </si>
  <si>
    <t>ola dapo</t>
  </si>
  <si>
    <t>Basira Gate</t>
  </si>
  <si>
    <t>The Lioness’s Den</t>
  </si>
  <si>
    <t>D.S. NubiYAH</t>
  </si>
  <si>
    <t>S. P.</t>
  </si>
  <si>
    <t>mrp&amp;c</t>
  </si>
  <si>
    <t>Christine Rose</t>
  </si>
  <si>
    <t>mimi bon</t>
  </si>
  <si>
    <t>Francois Etienne</t>
  </si>
  <si>
    <t>JP 17</t>
  </si>
  <si>
    <t>B-Town CHILL</t>
  </si>
  <si>
    <t>Mabintou Kamara</t>
  </si>
  <si>
    <t>PAULNE UGBIYOBO</t>
  </si>
  <si>
    <t>Jose Luis Maguga</t>
  </si>
  <si>
    <t>Mark Leeper</t>
  </si>
  <si>
    <t>Paul Asige</t>
  </si>
  <si>
    <t>Nonsikelelo Siso</t>
  </si>
  <si>
    <t>ABDULIE JALLOW</t>
  </si>
  <si>
    <t>Reachin Nirvana</t>
  </si>
  <si>
    <t>Mohamed Bangura</t>
  </si>
  <si>
    <t>Abraham kowo</t>
  </si>
  <si>
    <t>UBIA TV</t>
  </si>
  <si>
    <t>Eva Clarke</t>
  </si>
  <si>
    <t>Paul Damijo</t>
  </si>
  <si>
    <t>Ib Sidibe</t>
  </si>
  <si>
    <t>GOLDEN VIEW TV</t>
  </si>
  <si>
    <t>Jewel</t>
  </si>
  <si>
    <t>saudia spratt</t>
  </si>
  <si>
    <t>Patricia Eyison</t>
  </si>
  <si>
    <t>Green Orchid</t>
  </si>
  <si>
    <t>A J. Fitcom_xD83D__xDCAA__xD83C__xDFFE_</t>
  </si>
  <si>
    <t>memories</t>
  </si>
  <si>
    <t>super new africa</t>
  </si>
  <si>
    <t>Robert Spiller</t>
  </si>
  <si>
    <t>Vanelle Smith</t>
  </si>
  <si>
    <t>D E Raptor</t>
  </si>
  <si>
    <t>David Cammeron</t>
  </si>
  <si>
    <t>Alpha Empress</t>
  </si>
  <si>
    <t>L Crom</t>
  </si>
  <si>
    <t>Jackie AQ</t>
  </si>
  <si>
    <t>STAR SEEDS</t>
  </si>
  <si>
    <t>Fafunmilayo Osunola</t>
  </si>
  <si>
    <t>goldyempiremusic</t>
  </si>
  <si>
    <t>Michelle Rayeford</t>
  </si>
  <si>
    <t>BlaXit</t>
  </si>
  <si>
    <t>Eleanor Null</t>
  </si>
  <si>
    <t>Human</t>
  </si>
  <si>
    <t>HeygX8UYhCA</t>
  </si>
  <si>
    <t>gjQ2b6eCf5M</t>
  </si>
  <si>
    <t>hsq4RXdv0n8</t>
  </si>
  <si>
    <t>Q2CKkFDMc6U</t>
  </si>
  <si>
    <t>OEBMTb3WWS4</t>
  </si>
  <si>
    <t>E9_6bHyqfeU</t>
  </si>
  <si>
    <t>9kMpguF84Ok</t>
  </si>
  <si>
    <t>pjNUGUOCCB8</t>
  </si>
  <si>
    <t>nKS8X8XsQPo</t>
  </si>
  <si>
    <t>3R20g2rhFYw</t>
  </si>
  <si>
    <t>td26-eY3Dak</t>
  </si>
  <si>
    <t>SmHak99S7D0</t>
  </si>
  <si>
    <t>HRqaxX9d1KY</t>
  </si>
  <si>
    <t>OnEGLhO0ZkA</t>
  </si>
  <si>
    <t>1CCBeh9IPLo</t>
  </si>
  <si>
    <t>rGIM2VzISW4</t>
  </si>
  <si>
    <t>mHMiBrhfHMo</t>
  </si>
  <si>
    <t>8ahhC0tyeEw</t>
  </si>
  <si>
    <t>v0wgsQjWv44</t>
  </si>
  <si>
    <t>0ag2qtb7gyk</t>
  </si>
  <si>
    <t>R526WFz-P_U</t>
  </si>
  <si>
    <t>k8XVyw0UWQU</t>
  </si>
  <si>
    <t>-VWKefgqSGk</t>
  </si>
  <si>
    <t>O9ZW4gMN2pw</t>
  </si>
  <si>
    <t>NFA-kiVe3cU</t>
  </si>
  <si>
    <t>Wl4hidfJvy8</t>
  </si>
  <si>
    <t>pjWta5Q-C8g</t>
  </si>
  <si>
    <t>ZDSsgnZvcvo</t>
  </si>
  <si>
    <t>-f9rpzRJDf4</t>
  </si>
  <si>
    <t>4YhSUuzJnu0</t>
  </si>
  <si>
    <t>8X0545SNOc0</t>
  </si>
  <si>
    <t>cVB8q3dISPw</t>
  </si>
  <si>
    <t>2gS9hZ0RBqY</t>
  </si>
  <si>
    <t>VZV8PAy7MGI</t>
  </si>
  <si>
    <t>TqFT83I_uFo</t>
  </si>
  <si>
    <t>aXaq71EcPU4</t>
  </si>
  <si>
    <t>JYeual3sT28</t>
  </si>
  <si>
    <t>zJx3sAa2WEQ</t>
  </si>
  <si>
    <t>XtgP-D04bAI</t>
  </si>
  <si>
    <t>pGW2PLAsX7k</t>
  </si>
  <si>
    <t>RL2bROifAFs</t>
  </si>
  <si>
    <t>Fh4N2pBMuaE</t>
  </si>
  <si>
    <t>UZH2OU7E0Nc</t>
  </si>
  <si>
    <t>none</t>
  </si>
  <si>
    <t>https://drive.google.com/file/d/1ssca1FWJE6FRmSYvgyCHGs_W5ocOvRI7/view?usp=drive_web https://drive.google.com/file/d/1ssca1FWJE6FRmSYvgyCHGs_W5ocOvRI7/view?usp=drive_web</t>
  </si>
  <si>
    <t>https://youtu.be/6oTKO3XiN34 https://youtu.be/6oTKO3XiN34</t>
  </si>
  <si>
    <t>google.com google.com</t>
  </si>
  <si>
    <t>youtu.be youtu.be</t>
  </si>
  <si>
    <t>youtube.com</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</si>
  <si>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</si>
  <si>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</si>
  <si>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</si>
  <si>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</si>
  <si>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</si>
  <si>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</si>
  <si>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</si>
  <si>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</si>
  <si>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</si>
  <si>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</si>
  <si>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</si>
  <si>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</si>
  <si>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</si>
  <si>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</si>
  <si>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</si>
  <si>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</si>
  <si>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</si>
  <si>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</si>
  <si>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</si>
  <si>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</si>
  <si>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</si>
  <si>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</si>
  <si>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</si>
  <si>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</si>
  <si>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</si>
  <si>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SABC News</t>
  </si>
  <si>
    <t>CitiTube</t>
  </si>
  <si>
    <t>Lagos Television</t>
  </si>
  <si>
    <t>CGTN Africa</t>
  </si>
  <si>
    <t>africanews</t>
  </si>
  <si>
    <t>World Organisation for Animal Health</t>
  </si>
  <si>
    <t>GhanaWeb TV</t>
  </si>
  <si>
    <t>FRANCE 24 English</t>
  </si>
  <si>
    <t>PyynkyB</t>
  </si>
  <si>
    <t>African Bush Camps</t>
  </si>
  <si>
    <t>mcmasterhealthforum</t>
  </si>
  <si>
    <t>The Global Health Network</t>
  </si>
  <si>
    <t>MEDIHEAL GROUP OF HOSPITALS</t>
  </si>
  <si>
    <t>Africa Centre</t>
  </si>
  <si>
    <t>African Health Innovation Centre</t>
  </si>
  <si>
    <t>promise Augustine</t>
  </si>
  <si>
    <t>United Nations South Africa</t>
  </si>
  <si>
    <t>TVC News Nigeria</t>
  </si>
  <si>
    <t>philipleeharvey</t>
  </si>
  <si>
    <t>illuminAid</t>
  </si>
  <si>
    <t>Specialised Exhibitions</t>
  </si>
  <si>
    <t>SWCHC</t>
  </si>
  <si>
    <t>West Africa AIDS Foundation</t>
  </si>
  <si>
    <t>International Livestock Research Institute (ILRI)</t>
  </si>
  <si>
    <t>luxury lifestyle</t>
  </si>
  <si>
    <t>Footprint to Africa</t>
  </si>
  <si>
    <t>Association of African Universities</t>
  </si>
  <si>
    <t>CNBCAfrica</t>
  </si>
  <si>
    <t>Wemos</t>
  </si>
  <si>
    <t>MediGence</t>
  </si>
  <si>
    <t>Medicine RTCL TV</t>
  </si>
  <si>
    <t>API Events</t>
  </si>
  <si>
    <t>Mother Of All Gifts</t>
  </si>
  <si>
    <t>News Central TV</t>
  </si>
  <si>
    <t>Tribes Capital</t>
  </si>
  <si>
    <t>Young Africa TV</t>
  </si>
  <si>
    <t>Newzroom Afrika</t>
  </si>
  <si>
    <t>KBC Business</t>
  </si>
  <si>
    <t>Minhaj Welfare Foundation</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</si>
  <si>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</si>
  <si>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</si>
  <si>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</si>
  <si>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Citi TV (an English-speaking TV station) and Citi 97.3 FM (an English-speaking radio station) operate from Adabraka and Tesano in Accra, the capital of Ghana respectively. 
We can be heard on 97.3 megahertz (on radio) and on www.citinewsroom.com; while viewers can tune into Citi TV on Multi TV, DSTv and GoTv.
The Citi 97.3 FM and Citi TV brands are refreshingly different in that they combine a comprehensive and credible news function, backed by innovative listener-driven programmes and exciting promotions with vibrant audience participation.
The stations are well-noted to be listener-focused with innovative on-air programs, promotions, outdoor events and comprehensive news. 
The stations have become known as strong advocates for consumer issues, including road safety, sanitation, education, good health care, security and more.
Click to subscribe: http://goo.gl/7BzqQj</t>
  </si>
  <si>
    <t>Subscribe To Our Channel.
Lagos State Television is a state-owned station established in October, 1980. The first Television station in Nigeria to operate on two frequencies/bands VHF and UHF but now on UHF channel 35 and the first State owned Television station on cable satellite DSTV channel 256 and later on Startimes channel 104.
visit us at http://www.lagostelevision.com
Follow us at www.twitter.com/lagostelevision
Like us on www.facebook.com/LagosTelevision/</t>
  </si>
  <si>
    <t>She is a very outspoken and honest person, on what is going on in this world. She has lived 70 years, and enjoys sharing the ups and downs of her life. She gives audible.com books to help you feed your brain.</t>
  </si>
  <si>
    <t>YOUR LINK TO CHINA AND THE WORLD！
We provide the latest news from all over Africa. Whether you need to keep up with emerging issues in politics, business and sports, as well as insights on African entertainment, lifestyle or technology news, we have got you covered. 
Our news show include Africa Live, Global Business, Match Point, Talk Africa and Faces Of Africa.
You can also watch CGTN Africa on DSTV Channel 409, Zuku Channel 567 and Star Times Channel 123 everyday at 1000GMT or 1700GMT.</t>
  </si>
  <si>
    <t>speak the TRUTH rattle the PEOPLE!!!!</t>
  </si>
  <si>
    <t>Commentary and Reviews by The Duke
-----------------------Social Media-----------------------
Twitter: @The_Duke360 https://twitter.com/the_duke360
Instagram: @_The_Duke360  https://www.instagram.com/_the_duke360/
----------Thank you for contributing---------------
Cashapp: https://cash.app/%C2%A3TheDuke360
Don't forget to Like, comment and subscribe. Thank you for listening.</t>
  </si>
  <si>
    <t>random stuff from the wilderness 8)</t>
  </si>
  <si>
    <t>Now faith is confidence in what we HOPE for and assurance for what we DO NOT SEE- Hebrews 11</t>
  </si>
  <si>
    <t>Africanews on YouTube brings you a daily dose of news, produced by Africans for Africans.
Africanews is the first pan-African multilingual media outlet, unique in its concept and vision.
Subscribe on our Youtube channel https://www.youtube.com/c/africanews and receive all the latest news from the continent.
Africanews is available in English and French.
Find out more here: http://africanews.com/
Facebook : https://www.facebook.com/africanews.channel/
Twitter : https://twitter.com/africanews</t>
  </si>
  <si>
    <t>السلام عليكم ورحمة الله وبركاته
Selamat datang di channel kami MANDIRI PLAFOND , channel yang membahas tentang plafon , plafon gypsum maupun plafon PVC , dan lain² , terutama di bidang properti , mohon dukungannya untuk kami agar channel MANDIRI PLAFOND tambah maju , barokah , bermanfaat bagi kita semua .
Caranya ketik subscribe , serat lonceng notifikasinya agar dapat berlangganan video² terbaik dari kami lalu ketik like , komen di kolom komentar agar channel MANDIRI PLAFOND lebih maju ke depannya , lalu share agar teman-teman yang lain merapat , lebih mengenal lebih dalam tentang channel MANDIRI PLAFOND .
Tak lupa pada deskripsi chanel kami , kami berdo'a agar kita semua tetap di beri kesehatan di saat pandemi dan senantiasa dalam lindungan Allah SWT, semoga pandemi segera berlalu .
Amiiin...
terima kasih .
والسلام عليكم ورحمة الله وبركاته</t>
  </si>
  <si>
    <t>Our mission is to improve animal health globally, thereby ensuring a better future for all. 
We have been at the forefront of controlling animal diseases for almost 100 years. Since 1924, we have focused on monitoring and disseminating knowledge about animal diseases and how to use scientific data to limit animal diseases’ adverse effects on society. We work with 182 countries and territories, our Members, to protect the health of animals, humans and the planet.</t>
  </si>
  <si>
    <t>This channel is an extension of the advertising-based video on demand (AVOD) and streaming television on Ghana’s most popular website distributing video content such as news and programmes to millions of people over the internet. 
GhanaWeb TV started streaming its interactive programmes and compelling news videos on December 7, 2020, with its coverage of Ghana’s 2020 general elections. In 3 days, it garnered 21.9 million views on GhanaWeb and over 500,000 views on GhanaWeb’s YouTube and Facebook channels. 
GhanaWeb TV offers 24-hour innovative, relevant, authentic and compelling content on GhanaWeb’s digital channels which can be watched on any device, anytime and anywhere. 
GhanaWeb TV ... TV Anytime, Anywhere!</t>
  </si>
  <si>
    <t>NEXT Level engineering software training and research guidance center is devoted to engineering research and software excellence.
Are you bachelor/master’s students or Professional? If your answer is YES. Do you need training in engineering software such as AutoCAD, ArcSWAT, ArcGIS, ERDAS, Cropwat, Archdro, MIKE11/NAM, QGIS, Google Earth, Swat Cup, Map Window, Water CAD and MATLAB,Google Sketch, Climwat, HEC-HMS, HEC-RAS, HEC-GEOHMS, SPI, Mann-Kendall, SPSS, SAS, R Programming, LETEX, Surfer, Excel and others? Do you want guidance for your engineering bachelor/ master’s research? If your answer is YES again,
Please call us or write us. We provide you training and guidance right on your door. What makes us different, besides the theoretical and practical training session, we provide you videos with Amharic and English audio for each and every session of the training, which are prepared by specialized university instructors. How can this one help? Let us say you are attending training on</t>
  </si>
  <si>
    <t>Plese support my channel</t>
  </si>
  <si>
    <t>Official FRANCE 24's YouTube channel, international news 24/7.
Watch international video news from around the world !</t>
  </si>
  <si>
    <t>Corolla 1.8 Walk Around</t>
  </si>
  <si>
    <t>Travel, lifestyle</t>
  </si>
  <si>
    <t>_xD83D__xDE4F_ Thank you for visiting this channel .
My name is Tonderai Mombeyarara and I'm a nature lover. My goal is to share with the rest of the world anything about our Wildlife particularly Snakes that are native to Zimbabwe. The idea is to get YOU to understand snakes so that it saves both people and snakes lives.
Call/WhatsApp: +263 779 474722
PLEASE DO NOT ATTEMPT TO RECREATE OR REENACT ANY EVENTS OR SCENES FROM THE VIDEOS. THE ANIMALS AND TERRAIN FEATURED IN THE VIDEOS CAN BE DANGEROUS AND POSE A SIGNIFICANT RISK OF INJURY OR DEATH.
Don't forget to SUBSCRIBE!!!</t>
  </si>
  <si>
    <t>We offer authentic safari experiences in exclusive tented camps in Zimbabwe &amp; Botswana's prime wildlife areas. Join us on a journey &amp; share our passion for Africa, ensuring cultures &amp; wildlife areas are conserved for future generations.</t>
  </si>
  <si>
    <t>One love</t>
  </si>
  <si>
    <t>BlaXit back to Africa 
BlaXit = Repatriation your relocation - BlaXit is the journey and process of resettlement of African Descendants back to Africa their origins. 
BlaXit is our BreXit England wanted out of Europe and we wanted out too. Follow our journey. Www.blaxit.online   &amp; https://Blaxit.gr8.com/
For more info about Blaxit contact info@blaxithome.com
Donate to BlaXit via Patreon https://www.patreon.com/creator-home
or via PayPal   https://www.paypal.com/gm/home  Please use the email Bopcollective@Yahoo.com</t>
  </si>
  <si>
    <t>_xD83D__xDCB0__xD83D__xDCB0_</t>
  </si>
  <si>
    <t>Independent films from planet earth.....</t>
  </si>
  <si>
    <t>This is a channel about history and current events.</t>
  </si>
  <si>
    <t>This channel was created to show that anyone can become a successful internet marketer (work at home business) successfully.  We will teach and connect you with the not only the easiest ways to make a lucrative and residual income but some of the hidden secrets in the internet marketing world that the successful work at home "internet marketers" don't won't us to know about.
My main focus is for the newbies "new at working from home" but willing to help and network with all.</t>
  </si>
  <si>
    <t>I help Black women over 45 achieve and regain health and wellness using Lifestyle Medicine and personal development principles.</t>
  </si>
  <si>
    <t>AFRICA TO THE WORLD.
We are charging the narratives of the motherland Africa through youtube videos one city and one country at a time.
More and more African Americans across the globe are relocating to settle down in Africa as well as our Black caribbeans and European Blacks.
"What you concentrate on all day long becomes your future."
"Chase down your passion, like it's the last bus of the night. ~ Glade B. Addams.
We Need Your Support To Make This Project A Successful One.
Please, like and comment, and share this video.
With God all things are possible to them that believeth...Amen.</t>
  </si>
  <si>
    <t>SENASTE NYTT OM MEST RELEVANTA NYHETER</t>
  </si>
  <si>
    <t>Hebrew Israelites Channel is Dedicated to the media and press release of all Hebrew Israelites activities around the world.</t>
  </si>
  <si>
    <t>Motorsport &amp; other stuff :)</t>
  </si>
  <si>
    <t>The bridge 
Our goal is to focus on the liberation of Africans mentally, and spiritually.
To bridge the many gaps that keep us from reaching that goal, we will identify them and bridge them.
To understand where we are as Africans, where we were as Africans and how does that play into where we need to go as African.
We have a lot of problems because Africans don't have a say globally, that's why individuals with African connections face problems in their community, city, country and the world. 
With Africa having a claim on the global platform we will solve close to 60 percent of our problems on a global scale. 
In 1942, 527 years ago without Africa awareness her future and her children's future was decided via colonialism.
in 1804 the fight for freedom began its still going on today. As a people we been fighting for our complete freedom for 527 years since 1492 when it all begun. 1804 mark the first physical liberation and now we are fighting for mental/spiritual liberation.</t>
  </si>
  <si>
    <t>Civil Engineering and construction company. We deals in buildings, plumbing, electrical works</t>
  </si>
  <si>
    <t>*CHINUA ACHEBE*
_A man who calls his kingsmen to a feast does not do so to redeem them from starving. They all have food in their own houses. When we gather together in the moonlight village ground, it is not because of the moon. Every man can see it in his own compound. We come together because it is good for kingsmen to do so. Therefore let us continue with the team spirit and enjoy the power of togetherness. Let's smile not because we don't have problems but because we are stronger than the problems.</t>
  </si>
  <si>
    <t>Life can come with twists and turns, but also delicious experiences that brings us comfort and joy.  Welcome to my life in this world as I embrace walking to the beat of my own _xD83E__xDD41_ and inspiring you to live your dream no matter how big or small.  Welcome to the Lioness Den where we can chat about you Letting your light shine ✨ Bright! #Drummers&amp;Shiners</t>
  </si>
  <si>
    <t>B-TOWN CHILL_xD83D__xDE0E_
Yay Area cat._xD83D__xDC4C__xD83C__xDFFF_
ALL BAY ALL DAY.✌_xD83C__xDFFF_
19 yr Truck driver._xD83D__xDE9B_
Enjoy my truckin journey across AmeriKKKa.
See what ive seen,laugh at what ive done._xD83C__xDFAF_
Yes i am PRO BLACK,_xD83E__xDD3A_
And yes INSHA ALLAH I'm goin home to Afrika where my ancestors were stollen from &amp; where i belong.</t>
  </si>
  <si>
    <t>Platon de filete con aceite de oliva especias picante mayonesa y pan!!!!</t>
  </si>
  <si>
    <t>Nile valley diva</t>
  </si>
  <si>
    <t>Welcome to my Youtube Page Have you Subscribes yet? It’s Fun here.</t>
  </si>
  <si>
    <t>Strive For Excellence</t>
  </si>
  <si>
    <t>Please subscribe.I need your support _xD83D__xDE4F__xD83C__xDFFE_</t>
  </si>
  <si>
    <t>Welcome to the RAPTOR channel.
 This is an attempt to focus your attention on issues of historical value in our lives. 
The subject matter will vary depending on the events of the day, which may be political, financial or social. 
The growing use of violence to settle disputes, especially in the religious and political arenas. The unnecessary use of violence for pleasure, but our youth. 
Raptor will show how these element are created and how they affect our lives, while giving solutions which you may not find to your liking at all times. 
Is man destructive by nature?</t>
  </si>
  <si>
    <t>It's Time to find The power, strength,  joy, peace  abundance within. Its time to know who you really are! And I'm here to assist you along the way. _xD83D__xDC9C__xD83D__xDCAB__xD83D__xDC9C_</t>
  </si>
  <si>
    <t>UK</t>
  </si>
  <si>
    <t>Water OpH Life with Fafunmilayọ Oyinọṣun Ọṣunòlá - Everything from Healthy Drinking Water and whatever else is on my mind_xD83D__xDC9B_
_xD83D__xDCAB_ https://karatbars.com/?s=osunolawealth55 _xD83D__xDCAB_
IG @ifafunmilayo_oyinosun_osunola</t>
  </si>
  <si>
    <t>The McMaster Health Forum’s goal is to generate action on the pressing health and social issues of our time. We do this based on the best-available research evidence, as well as experiences and insights from citizens, professionals, organizational leaders, and government policymakers. We undertake some of our work under the Forum banner, and other work in our role as secretariat for Rapid-Improvement Support and Exchange, COVID-19 Evidence Network to support Decision-making (COVID-END), and Global Commission on Evidence to Address Societal Challenges.</t>
  </si>
  <si>
    <t>This is the video channel for The Global Health Network. The Global Health Network is a collection of websites that are aiming to support research by sharing knowledge and methods. Each has been established to create a subject specific online community of researchers who can build collaborations, develop documents, share resources and exchange information.
The site can be accessed at: www.theglobalhealthnetwork.org</t>
  </si>
  <si>
    <t>Mediheal Group of Hospitals - a group of tertiary care centers (Nairobi, Eldoret, Nakuru &amp; Kigali) with over 350 beds, 6 Magnetic Resonance Imaging (MRI) machines and eight Computerized Tomography (CT) Scanners among other advanced equipment offering state-of-the-art diagnostic and therapeutic services with ten modern specialty-specific modular Operation Theatres. Driven by a strong interdisciplinary collaboration, the teams of accomplished medical experts deliver personalized and exemplary patient care across more than 15 specialties leveraging the most advanced evidence-based medicine and cutting-edge technology.
Mediheal Group of Hospitals is the leading largest healthcare service provider in East Africa with rapid expansion plans across the continent offering the full spectrum of integrated healthcare services from clinics to hospitals to tertiary care and a wide range of ancillary services.</t>
  </si>
  <si>
    <t>The African Health Innovation Centre strengthens Africa’s burgeoning health innovation ecosystem and empowers emerging leaders to improve health outcomes through entrepreneurship and innovation.
AHIC offers diverse health-related programs including early-stage startup incubation, cross-sector relationship development, health innovation consulting, ecosystem mapping, hackathons, and other events. Based in Ghana, AHIC partners with the government, industry, academic, nonprofit, startup, and healthcare sectors, bringing diverse stakeholders to the table for conversation and collaboration.
While AHIC offers diverse programming, it has responded to identified community needs by determining specialty focus areas of sexual and reproductive health and rights, mental health and wellness, and emergency care.</t>
  </si>
  <si>
    <t>The official YouTube Channel of the United Nations in South Africa. The videos on our channel feature a wide range of global topics including current news, peace and security, social and economic development, human rights, climate action and more. They give insight into the work and impact of the various United Nations agencies in South Africa.
To learn more, visit: https://southafrica.un.org/</t>
  </si>
  <si>
    <t>We bring you all the latest and breaking news happening in Nigeria. You will also find interesting headline topics from news from around the world on different topical issues in Politics, Health, Business, Entertainment, Environment, Sports, and more.
TVC News...First With Breaking News</t>
  </si>
  <si>
    <t>Showcase of Philip Lee Harvey's video work.
www.philipleeharvey.com
Professional photographer Philip Lee Harvey has travelled the globe in search of his subjects, finding them everywhere from the dark drama of a Haitian voodoo ceremony to the stark brightness of Bolivian salt flats.
Philip has spent the past 18 years travelling the world taking photographs for magazines and advertising agencies. Last year alone he worked in over 20 countries, as diverse as Yemen, China and Hawaii.
A frequent contributor to BBC Lonely Planet magazine, he has also published his work in National Geographic Traveller, The Independent, the Saturday Telegraph, Condé Nast Traveller, Tatler, Vanity Fair and Geo magazine.
Philip's advertising clients have included Shell, UPS, T-Mobile, Ford, Bentley, Ericsson Communications, the Irish , British and Egyptian Tourist Boards, Sony, British Airways, Volkswagen, UBS Banks, Intercontinental Hotels, ITV, Mastercard, Kodak and BP.
www.philipleeharvey.com</t>
  </si>
  <si>
    <t>illuminAid equips and trains organizations in developing nations to produce and share low-cost video content in order to help educate and safeguard local communities facing our world's most pressing challenges. 
We bring long-term, sustainable development to communities in the developing world by teaching local individuals and community based organizations to deliver the latest training information in health, agriculture, education and other disciplines. We do this by working with subject matter experts and teaching locals how to produce educational videos using low cost video cameras and cordless projectors in typically hard to reach locations.We believe that local organizations are the experts in local interventions. By empowering organizations to create videos, we can help them to better reach the most under-served and remote communities with less staff and fewer resources.</t>
  </si>
  <si>
    <t>The Specialised Exhibitions Montgomery brand is synonymous with integrity and professionalism. A company that aspires to the highest possible service standards, with a focus on customer care. Excellent, results-driven, marketing opportunity.</t>
  </si>
  <si>
    <t>The West Africa AIDS Foundation is an NGO registered in Ghana founded in 1999. Our mission is to battle the spread of HIV/AIDS, TB  as well as other communicable diseases in Ghana.  Our vision is to set up comprehensive health clinics in all regions in Ghana to cater to marginalized people and their communities.</t>
  </si>
  <si>
    <t>Today's science and development issues are complex and often involve multiple international players. But they need yet local solutions. 
We show local people talking about issues in livestock in their own surroundings. We show important topics facing pro-poor agricultural research to highlight how new technologies could change lives for the better.</t>
  </si>
  <si>
    <t>The Association of African Universities (AAU) is the voice of higher education in Africa. The AAU TV is the media platform of the AAU that provides audio-visual content to the African higher education community and beyond.</t>
  </si>
  <si>
    <t>Business news from across Africa.</t>
  </si>
  <si>
    <t>Wemos advocates for the right to health of people worldwide. Wemos influences (inter)national policy in such a way that the right to health is respected, protected and promoted. Wemos contributes to policy changes aimed at making structural improvements in health for all. We advocate for:
- ethical conduct, 
- coherent and fair policy,
- health equity, and
- the application of a global perspective on health.</t>
  </si>
  <si>
    <t>MediGence is a technology-driven global platform to find and leverage the best-in-class overseas medical treatment options for a memorable patient care experience. Following our brand statement ‘Enabling Better Healthcare Decisions’, we are focused on empowering our medical travelers to take the right healthcare decision using technology and create a better experience for their treatment overseas.
With an aim to extend our mission, MediGence has launched CURED, a one-touch healthcare app that takes care of a patient's all-encompassing treatment-related communication, collaboration and documentation right from the moment they are diagnosed until their recovery.</t>
  </si>
  <si>
    <t>This channel is dedicated to making scholarly article summaries in the Medical field</t>
  </si>
  <si>
    <t>API Events provides a platform that drives growth in African real estate investment whilst assisting the continent in realising its full potential.
Through our extensive events and brands portfolio, API Events facilitates valuable business relationships, insights and investments across all real estate sectors in Africa.
API Events is the largest real estate conference companion on the continent. Our events are a standalone opportunity to discuss current trends, share industry experiences and enjoy insightful debates. The events provide invaluable opportunity to interact with the best real estate minds in the business and get unrivalled perspective of real estate investment, development and management in Africa.</t>
  </si>
  <si>
    <t>A channel all about nobody but a mother in South Africa _xD83C__xDDFF__xD83C__xDDE6_
Instagram | Mother Of All Gifts
Email | therealmotherofallgifts@gmail.com</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</si>
  <si>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</si>
  <si>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We are on a mission to electrify businesses in emerging markets with renewable energy utility solution.
Tribes Capital is an impact &amp; crowd investing platform to scale the adoption of renewable energy-as-a-service with C&amp;Is and SMEs in emerging markets.
We utilise a ground-breaking, disruptive technology that simulates complex systems in nature to produce fully self-governing grids. It's sustained by an algorithm that permits decentralized design and no streamlined control.
Be notified when we launch or submit your energy requirements for our team to assess it.
www.tribes.capital
info@tribes.capital
Twitter/Instagram/Tiktok/FB - @tribescapital</t>
  </si>
  <si>
    <t>Young Africa TV is a channel on YouTube aimed at empowering and inspiring the youth of Africa to develop themselves, thereby shaping their lives, their families, their communities and the Continent of Africa in a BEAUTIFUL way, according to their own vision of what a future Africa should look like.</t>
  </si>
  <si>
    <t>The official YouTube channel for Newzroom Afrika.</t>
  </si>
  <si>
    <t>This page is managed by the Kenya Broadcasting Corporation (KBC). For all business stories, check here...</t>
  </si>
  <si>
    <t>Minhaj Welfare Foundation (MWF) UK is one of the largest non-government international charity organisations in the world, with a network of branches and projects in over 100 countries worldwide. It is the torch-bearer of peace, prosperity and equal human rights for all of mankind, irrespective of age, gender, disability, ethnicity, religion, social background or political beliefs.
MWF is fully registered with the UK charity commission, and its four constituent societies are registered under the Societies Act 1961, and are totally self-reliant, operating on charitable donations from both members and non-members worldwide.</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</si>
  <si>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</si>
  <si>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</si>
  <si>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</si>
  <si>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</si>
  <si>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</si>
  <si>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</si>
  <si>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</si>
  <si>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</si>
  <si>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</si>
  <si>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</si>
  <si>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</si>
  <si>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</si>
  <si>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</si>
  <si>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</si>
  <si>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</si>
  <si>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</si>
  <si>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@megaaxim</t>
  </si>
  <si>
    <t>@cititubegh</t>
  </si>
  <si>
    <t>@georgeamoh5726</t>
  </si>
  <si>
    <t>@ahoto_papa_bi</t>
  </si>
  <si>
    <t>@stvhh2896</t>
  </si>
  <si>
    <t>@kwameappiah8429</t>
  </si>
  <si>
    <t>@tyclassic7264</t>
  </si>
  <si>
    <t>@lagostelevision</t>
  </si>
  <si>
    <t>@acajudi100</t>
  </si>
  <si>
    <t>@cgtnafrica</t>
  </si>
  <si>
    <t>@helloworld1947</t>
  </si>
  <si>
    <t>@zoharborage6609</t>
  </si>
  <si>
    <t>@theduke6174</t>
  </si>
  <si>
    <t>@reptilespantoso</t>
  </si>
  <si>
    <t>@frehyvibe3182</t>
  </si>
  <si>
    <t>@saltoftheearth8324</t>
  </si>
  <si>
    <t>@africanews</t>
  </si>
  <si>
    <t>@mandiriplafond</t>
  </si>
  <si>
    <t>@mohamedferchichi9675</t>
  </si>
  <si>
    <t>@worldanimalhealth</t>
  </si>
  <si>
    <t>@isaacyeboah5469</t>
  </si>
  <si>
    <t>@ghanawebtv</t>
  </si>
  <si>
    <t>@wollie4358</t>
  </si>
  <si>
    <t>@momosajibrezy8528</t>
  </si>
  <si>
    <t>@zithulelesidwellntshudu7064</t>
  </si>
  <si>
    <t>@ofglory1583</t>
  </si>
  <si>
    <t>@shanaazcloete8531</t>
  </si>
  <si>
    <t>@ronwynvonstaden8330</t>
  </si>
  <si>
    <t>@abdoulayeleye5399</t>
  </si>
  <si>
    <t>@nextlevelgisrsfitsalem</t>
  </si>
  <si>
    <t>@manu-ip7kl</t>
  </si>
  <si>
    <t>@theredethio</t>
  </si>
  <si>
    <t>@nizamuddinthonichal3931</t>
  </si>
  <si>
    <t>@alanaweaver8942</t>
  </si>
  <si>
    <t>@france24_en</t>
  </si>
  <si>
    <t>@starsstripes990</t>
  </si>
  <si>
    <t>@pyynkyb</t>
  </si>
  <si>
    <t>@bobbywatson2861</t>
  </si>
  <si>
    <t>@snakesinzimbabwe</t>
  </si>
  <si>
    <t>@africanbushcamps</t>
  </si>
  <si>
    <t>@chule1100</t>
  </si>
  <si>
    <t>@kapitakapita9114</t>
  </si>
  <si>
    <t>@robinhojalloh7284</t>
  </si>
  <si>
    <t>@blaxit</t>
  </si>
  <si>
    <t>@owene</t>
  </si>
  <si>
    <t>@reality6522</t>
  </si>
  <si>
    <t>@divergencefilms</t>
  </si>
  <si>
    <t>@leandrejousua4103</t>
  </si>
  <si>
    <t>@sunkissflower</t>
  </si>
  <si>
    <t>@pphdocumentaries</t>
  </si>
  <si>
    <t>@mrcool9538</t>
  </si>
  <si>
    <t>@vinessabryant9826</t>
  </si>
  <si>
    <t>@sharaimakara9578</t>
  </si>
  <si>
    <t>@rudygrissom5871</t>
  </si>
  <si>
    <t>@gantswood</t>
  </si>
  <si>
    <t>@mayelabantuqueen832</t>
  </si>
  <si>
    <t>@nina5-12</t>
  </si>
  <si>
    <t>@rahmahussein4019</t>
  </si>
  <si>
    <t>@janetfacey6619</t>
  </si>
  <si>
    <t>@mundoisatou</t>
  </si>
  <si>
    <t>@patriciaosakwe3416</t>
  </si>
  <si>
    <t>@jesulasmith3148</t>
  </si>
  <si>
    <t>@laticiataylorreneea</t>
  </si>
  <si>
    <t>@jennifereaddy</t>
  </si>
  <si>
    <t>@modougaye3625</t>
  </si>
  <si>
    <t>@motivatedemonstrate2915</t>
  </si>
  <si>
    <t>@drdianethompson</t>
  </si>
  <si>
    <t>@destinyschild.9103</t>
  </si>
  <si>
    <t>@isiejeme0829</t>
  </si>
  <si>
    <t>@safiyanuur6997</t>
  </si>
  <si>
    <t>@jahbless4ever</t>
  </si>
  <si>
    <t>@dannyboy4917</t>
  </si>
  <si>
    <t>@blessedsuama3550</t>
  </si>
  <si>
    <t>@goveggaano</t>
  </si>
  <si>
    <t>@kxwork</t>
  </si>
  <si>
    <t>@melissapierre4418</t>
  </si>
  <si>
    <t>@freecoursemedia214</t>
  </si>
  <si>
    <t>@jm-qf1vb</t>
  </si>
  <si>
    <t>@hebrewisraelites8117</t>
  </si>
  <si>
    <t>@dpomigie</t>
  </si>
  <si>
    <t>@alphajallow9004</t>
  </si>
  <si>
    <t>@f6876</t>
  </si>
  <si>
    <t>@carpediem1983</t>
  </si>
  <si>
    <t>@ms.thankfulalways3696</t>
  </si>
  <si>
    <t>@nzilantemo</t>
  </si>
  <si>
    <t>@thebridge5483</t>
  </si>
  <si>
    <t>@jmiller4188</t>
  </si>
  <si>
    <t>@muleiresonsinvestmentslimi3737</t>
  </si>
  <si>
    <t>@teejay-ej5xt</t>
  </si>
  <si>
    <t>@quirx-jh1jj</t>
  </si>
  <si>
    <t>@oladapo269</t>
  </si>
  <si>
    <t>@basiragate1098</t>
  </si>
  <si>
    <t>@thelionesssden3140</t>
  </si>
  <si>
    <t>@adrezzy2</t>
  </si>
  <si>
    <t>@s.p.3681</t>
  </si>
  <si>
    <t>@mrpc3128</t>
  </si>
  <si>
    <t>@christinerose9561</t>
  </si>
  <si>
    <t>@mimibon7081</t>
  </si>
  <si>
    <t>@francoisetienne1646</t>
  </si>
  <si>
    <t>@jp1780</t>
  </si>
  <si>
    <t>@trksanhoes</t>
  </si>
  <si>
    <t>@mabintoukamara3207</t>
  </si>
  <si>
    <t>@paulneugbiyobo4156</t>
  </si>
  <si>
    <t>@joseluismaguga3418</t>
  </si>
  <si>
    <t>@markleeper6850</t>
  </si>
  <si>
    <t>@paulasige345</t>
  </si>
  <si>
    <t>@nonsikelelosiso2362</t>
  </si>
  <si>
    <t>@abduliejallow4989</t>
  </si>
  <si>
    <t>@reachinnirvana9076</t>
  </si>
  <si>
    <t>@mohamedbangura1917</t>
  </si>
  <si>
    <t>@wordseed100</t>
  </si>
  <si>
    <t>@ubiatv8391</t>
  </si>
  <si>
    <t>@evaclarke2140</t>
  </si>
  <si>
    <t>@pauldamijo335</t>
  </si>
  <si>
    <t>@ibsidibe</t>
  </si>
  <si>
    <t>@goldenviewtv7021</t>
  </si>
  <si>
    <t>@jewel3567</t>
  </si>
  <si>
    <t>@saudiaspratt1954</t>
  </si>
  <si>
    <t>@allisgoot53</t>
  </si>
  <si>
    <t>@greenorchid9</t>
  </si>
  <si>
    <t>@adamajallow1848</t>
  </si>
  <si>
    <t>@memories788</t>
  </si>
  <si>
    <t>@supernewafrica4210</t>
  </si>
  <si>
    <t>@robertspiller</t>
  </si>
  <si>
    <t>@vanellesmith4598</t>
  </si>
  <si>
    <t>@d-e-raptor</t>
  </si>
  <si>
    <t>@davidcammeron3910</t>
  </si>
  <si>
    <t>@alphaempress9582</t>
  </si>
  <si>
    <t>@creamywings1</t>
  </si>
  <si>
    <t>@jackyhapy</t>
  </si>
  <si>
    <t>@starseeds6258</t>
  </si>
  <si>
    <t>@fafunmilayoosunola3096</t>
  </si>
  <si>
    <t>@goldyempiremusic</t>
  </si>
  <si>
    <t>@michellerayeford2427</t>
  </si>
  <si>
    <t>@ellenullvoid</t>
  </si>
  <si>
    <t>@mcmasterhealthforum</t>
  </si>
  <si>
    <t>@infotghn</t>
  </si>
  <si>
    <t>@medihealgroupofhospitals</t>
  </si>
  <si>
    <t>@africacentre599</t>
  </si>
  <si>
    <t>@ahic</t>
  </si>
  <si>
    <t>@promiseaugustine4465</t>
  </si>
  <si>
    <t>@uninsouthafrica</t>
  </si>
  <si>
    <t>@tvcnewsnigeria</t>
  </si>
  <si>
    <t>@philipleeharvey</t>
  </si>
  <si>
    <t>@illuminaid</t>
  </si>
  <si>
    <t>@specialisedexhibitions3416</t>
  </si>
  <si>
    <t>@swchc</t>
  </si>
  <si>
    <t>@westafricaaidsfoundation1099</t>
  </si>
  <si>
    <t>@ilrifilm</t>
  </si>
  <si>
    <t>@luxurylifestyle9925</t>
  </si>
  <si>
    <t>@footprinttoafrica</t>
  </si>
  <si>
    <t>@associationofafricanuniver9897</t>
  </si>
  <si>
    <t>@cnbcafrica410</t>
  </si>
  <si>
    <t>@wemosorg</t>
  </si>
  <si>
    <t>@medigence</t>
  </si>
  <si>
    <t>@medicinertcltv</t>
  </si>
  <si>
    <t>@apievents3526</t>
  </si>
  <si>
    <t>@motherofallgifts</t>
  </si>
  <si>
    <t>@newscentralafrica</t>
  </si>
  <si>
    <t>@tribescapital</t>
  </si>
  <si>
    <t>@youngafricatv2563</t>
  </si>
  <si>
    <t>@newzroomafrika5914</t>
  </si>
  <si>
    <t>@kbcbusiness48</t>
  </si>
  <si>
    <t>@minhajwelfareukofficial</t>
  </si>
  <si>
    <t>@human-rh7bo</t>
  </si>
  <si>
    <t>Open Channel URL in Browser</t>
  </si>
  <si>
    <t>google.com</t>
  </si>
  <si>
    <t>youtu.be</t>
  </si>
  <si>
    <t>plan dr continent newly travel forced md program paying living</t>
  </si>
  <si>
    <t>voting anc eff keep doctors</t>
  </si>
  <si>
    <t>fake worry doctors</t>
  </si>
  <si>
    <t>power anc qualified home teachers voted respected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</si>
  <si>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</si>
  <si>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</si>
  <si>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</si>
  <si>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</si>
  <si>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</si>
  <si>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</si>
  <si>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</si>
  <si>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</si>
  <si>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</si>
  <si>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laugh</t>
  </si>
  <si>
    <t>check positive fair political good assessment lenses government</t>
  </si>
  <si>
    <t>ndc folks power comments ghana hipc reading like wish win</t>
  </si>
  <si>
    <t>complete starting rooting infrastructures government</t>
  </si>
  <si>
    <t>time country kwasia ashawo think president fool akuffo party addo</t>
  </si>
  <si>
    <t>ltv pls protesters counting pression greetings alausa ikeja news friday</t>
  </si>
  <si>
    <t>excellent google grace storycorps judi</t>
  </si>
  <si>
    <t>loving allowing ethiopia well eprdf progress government place</t>
  </si>
  <si>
    <t>actual charge africans course dna</t>
  </si>
  <si>
    <t>think genomic surgical stupid centre equipment talking</t>
  </si>
  <si>
    <t>roses right genomics real yeah investigation moonshine</t>
  </si>
  <si>
    <t>white creepy people</t>
  </si>
  <si>
    <t>voice journalists love</t>
  </si>
  <si>
    <t>sir info nice</t>
  </si>
  <si>
    <t>beekeeping african honor</t>
  </si>
  <si>
    <t>bless god mum</t>
  </si>
  <si>
    <t>disgrace thing anc</t>
  </si>
  <si>
    <t>south change vote africa</t>
  </si>
  <si>
    <t>government address current strategic sector loadshedding situation disastrous health matter</t>
  </si>
  <si>
    <t>stole hands anc money bring leaving feel blood hospitals africa</t>
  </si>
  <si>
    <t>crossing treat gonna zimbabweans birders</t>
  </si>
  <si>
    <t>vulnerable south shocking poor africa government disregard</t>
  </si>
  <si>
    <t>tutorial data tahnks</t>
  </si>
  <si>
    <t>file 1ssca1fwje6frmsyvgychgs_w5ocovri7 drive_web view google drive usp check forget request</t>
  </si>
  <si>
    <t>amsr2 streamflow swat validation satellite clip model moisture soil</t>
  </si>
  <si>
    <t>bro job great keep fitse site time</t>
  </si>
  <si>
    <t>file shape ethiopia tutorials add great work country</t>
  </si>
  <si>
    <t>essential coming countries equipment time india</t>
  </si>
  <si>
    <t>clean nice</t>
  </si>
  <si>
    <t>told</t>
  </si>
  <si>
    <t>6otko3xin34 job good keep abc team work thumbs great</t>
  </si>
  <si>
    <t>abc job stuff awesome foundation</t>
  </si>
  <si>
    <t>interesting</t>
  </si>
  <si>
    <t>country awesome husband juliet best job leone sierra good bro</t>
  </si>
  <si>
    <t>great bless naija blessed brother thangs juliet well job love</t>
  </si>
  <si>
    <t>excellent staff healthcare treatment facility</t>
  </si>
  <si>
    <t>comparable nhs care informative private</t>
  </si>
  <si>
    <t>diaspora home good gambia coming develop country doctors</t>
  </si>
  <si>
    <t>juliet important information</t>
  </si>
  <si>
    <t>best gambia africa kept secret</t>
  </si>
  <si>
    <t>right doctor cost</t>
  </si>
  <si>
    <t>love excellent sister</t>
  </si>
  <si>
    <t>diaspora transitioning concerns heart</t>
  </si>
  <si>
    <t>juliet walking waist uncomfortably foot hurt feet clips</t>
  </si>
  <si>
    <t>efficient juliet love great beautiful services</t>
  </si>
  <si>
    <t>streamlined like excellent optimized processes</t>
  </si>
  <si>
    <t>interesting juliet</t>
  </si>
  <si>
    <t>reply care juliet pay gambia medical sister</t>
  </si>
  <si>
    <t>job nice sister</t>
  </si>
  <si>
    <t>queen good african keep real</t>
  </si>
  <si>
    <t>tour stores groceries markets</t>
  </si>
  <si>
    <t>wonderful great work questions answering</t>
  </si>
  <si>
    <t>juliet</t>
  </si>
  <si>
    <t>love sister</t>
  </si>
  <si>
    <t>doctors</t>
  </si>
  <si>
    <t>important sharing information</t>
  </si>
  <si>
    <t>bless god bla awareness bigger greater black family development africa</t>
  </si>
  <si>
    <t>post nice</t>
  </si>
  <si>
    <t>job consultant bla opportunity good family medical xit drug equipment</t>
  </si>
  <si>
    <t>jamaica juliet job black good professionals life</t>
  </si>
  <si>
    <t>queen love black flag keep represent flying</t>
  </si>
  <si>
    <t>gambia eye minority blessed gambian enslavement namibia foreign graduated imperialism</t>
  </si>
  <si>
    <t>deeeeep stuff wow</t>
  </si>
  <si>
    <t>vlog enlightening</t>
  </si>
  <si>
    <t>gambia like feel queen impressed blog 34 ve juliet healthcare</t>
  </si>
  <si>
    <t>american media putting civilized negative lie thinking africa</t>
  </si>
  <si>
    <t>happy smh comments</t>
  </si>
  <si>
    <t>happy hallelu juliet yah gambia high praises bringing services standard</t>
  </si>
  <si>
    <t>spreading juliet great work keep word</t>
  </si>
  <si>
    <t>like watching button hit</t>
  </si>
  <si>
    <t>love great unit africans intelligent people</t>
  </si>
  <si>
    <t>juliet african sweden brother good queen nice africa hey east</t>
  </si>
  <si>
    <t>important love gambia future planning content information</t>
  </si>
  <si>
    <t>sis juliet speed sickle clinic family listen medical care bless</t>
  </si>
  <si>
    <t>watching care hope continent storm work awesome health skills clinics</t>
  </si>
  <si>
    <t>like mandingo ur dress woman</t>
  </si>
  <si>
    <t>ryan ve family missing</t>
  </si>
  <si>
    <t>keep class trust proud sister change sick misconception disseminating western</t>
  </si>
  <si>
    <t>brainwashed cleaner organized facilities doctor offices hospital couple medical equipment</t>
  </si>
  <si>
    <t>paul originality gomez africans yeah</t>
  </si>
  <si>
    <t>long 23healinginafrika th sick results hospital wait #healinginafrika search_query uk</t>
  </si>
  <si>
    <t>africa light people obliterating answering proof myths thing shining world</t>
  </si>
  <si>
    <t>gambia care great clinics husband staffs hands supervisor people calls</t>
  </si>
  <si>
    <t>facility nice</t>
  </si>
  <si>
    <t>care concern afford walking americans hospital deep big clinic africa</t>
  </si>
  <si>
    <t>change plans julia love influencing lol returnee gambia</t>
  </si>
  <si>
    <t>friendly people</t>
  </si>
  <si>
    <t>happy black time doctors</t>
  </si>
  <si>
    <t>empathy</t>
  </si>
  <si>
    <t>great</t>
  </si>
  <si>
    <t>lovely dress</t>
  </si>
  <si>
    <t>beautiful country precioso pais dia futbolistas disciplinados afri ganareis gambia</t>
  </si>
  <si>
    <t>packing respiratory therapist bags</t>
  </si>
  <si>
    <t>informative juliet great</t>
  </si>
  <si>
    <t>ambassador jules</t>
  </si>
  <si>
    <t>gambia</t>
  </si>
  <si>
    <t>people respect african spending treated form working kindness disrespect inviting</t>
  </si>
  <si>
    <t>ur family bla lookin blessi info good peace donate god</t>
  </si>
  <si>
    <t>shine god born africa child loved</t>
  </si>
  <si>
    <t>love vlogs return learnt sewn ready 2020 ve lot wait</t>
  </si>
  <si>
    <t>like england friend child infection</t>
  </si>
  <si>
    <t>wow nice</t>
  </si>
  <si>
    <t>clinic ghana impressed class proud good exists wow</t>
  </si>
  <si>
    <t>states greatest dialysis diabetic improper people doctors diet sharing sickness</t>
  </si>
  <si>
    <t>hospital clean</t>
  </si>
  <si>
    <t>important juliet ease lungs eyes birth surgery healthcare major organs</t>
  </si>
  <si>
    <t>danke deutschland krankenhaus mag fantastisch trotzdem gambia schwester sauber schön</t>
  </si>
  <si>
    <t>pay africa imagine doctor engineer beautiful payment place doctors</t>
  </si>
  <si>
    <t>public private facility</t>
  </si>
  <si>
    <t>ghana think care opposed gambia better health</t>
  </si>
  <si>
    <t>refreshing work coming goodness visit sistar</t>
  </si>
  <si>
    <t>located centrally clinic good transportation information</t>
  </si>
  <si>
    <t>dr people poor class fact lack mannerisms caribbean travel hung</t>
  </si>
  <si>
    <t>chicago 20m comments verify wow min leave long wait</t>
  </si>
  <si>
    <t>nice</t>
  </si>
  <si>
    <t>speech curlytreats morning exhibition juliet living energy energised good interview</t>
  </si>
  <si>
    <t>juliet great work awesome</t>
  </si>
  <si>
    <t>bless stay stuff great greetings</t>
  </si>
  <si>
    <t>insurance medicaid medicare american cover country</t>
  </si>
  <si>
    <t>admitted foreign health department doctors qualified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</si>
  <si>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</si>
  <si>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</si>
  <si>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</si>
  <si>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</si>
  <si>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</si>
  <si>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</si>
  <si>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</si>
  <si>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</si>
  <si>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</si>
  <si>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</si>
  <si>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</si>
  <si>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</si>
  <si>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government,positive  good,check  political,lenses  fair,assessment  lenses,good  assessment,political  check,government</t>
  </si>
  <si>
    <t>ghana,hipc  ndc,win  win,power  ndc,folks  power,2024  wish,ghana  reading,comments  comments,like  like,ndc  hipc,ndc</t>
  </si>
  <si>
    <t>government,complete  rooting,starting  infrastructures,rooting  complete,infrastructures</t>
  </si>
  <si>
    <t>party,country  111,fool  akuffo,addo  president,akuffo  fool,think  think,party  ashawo,president  country,kwasia  addo,agenda  agenda,111</t>
  </si>
  <si>
    <t>peaceful,protesters  alausa,ikeja  greetings,protesters  counting,ltv  workers,counting  pls,expecting  ltv,alausa  expecting,news  ikeja,friday  protesters,ltv</t>
  </si>
  <si>
    <t>excellent,google  judi,grace  google,judi  grace,storycorps</t>
  </si>
  <si>
    <t>well,ethiopia  allowing,place  eprdf,government  place,loving  loving,progress  ethiopia,eprdf  government,allowing</t>
  </si>
  <si>
    <t>charge,dna  africans,charge  course,actual  actual,africans</t>
  </si>
  <si>
    <t>equipment,think  surgical,equipment  centre,surgical  genomic,centre  think,stupid  talking,genomic</t>
  </si>
  <si>
    <t>genomics,real  real,investigation  right,roses  moonshine,genomics  roses,moonshine  yeah,right</t>
  </si>
  <si>
    <t>white,people  people,creepy</t>
  </si>
  <si>
    <t>journalists,voice  love,journalists</t>
  </si>
  <si>
    <t>info,sir  nice,info</t>
  </si>
  <si>
    <t>african,beekeeping  honor,african</t>
  </si>
  <si>
    <t>god,bless  bless,mum</t>
  </si>
  <si>
    <t>anc,thing  disgrace,anc</t>
  </si>
  <si>
    <t>vote,change  south,africa  change,south</t>
  </si>
  <si>
    <t>disastrous,situation  current,loadshedding  adopt,strategic  address,disastrous  matter,detrimental  strategic,plan  plan,address  loadshedding,matter  government,adopt  health,sector</t>
  </si>
  <si>
    <t>stole,leaving  cadres,feel  south,africa  blood,hands  feel,stole  available,hospitals  money,available  anc,stole  vulnerable,blood  hospitals,bring</t>
  </si>
  <si>
    <t>crossing,birders  zimbabweans,crossing  treat,zimbabweans  gonna,treat</t>
  </si>
  <si>
    <t>south,africa  disregard,government  poor,south  vulnerable,poor  shocking,disregard  government,vulnerable</t>
  </si>
  <si>
    <t>tahnks,tutorial  data,tahnks</t>
  </si>
  <si>
    <t>usp,drive_web  file,1ssca1fwje6frmsyvgychgs_w5ocovri7  view,usp  drive,google  1ssca1fwje6frmsyvgychgs_w5ocovri7,view  google,file  drive_web,asking  request,forget  drive_web,drive  asking,request</t>
  </si>
  <si>
    <t>amsr2,validation  validation,streamflow  streamflow,swat  moisture,amsr2  soil,moisture  satellite,soil  swat,model  clip,satellite</t>
  </si>
  <si>
    <t>site,time  job,fitse  great,job  keep,bro  time,great  fitse,keep</t>
  </si>
  <si>
    <t>work,add  great,work  country,ethiopia  file,tutorials  add,shape  shape,file  tutorials,country</t>
  </si>
  <si>
    <t>equipment,coming  essential,equipment  time,essential  india,countries  coming,india</t>
  </si>
  <si>
    <t>clean,nice</t>
  </si>
  <si>
    <t>6otko3xin34,great  6otko3xin34,6otko3xin34  great,job  team,abc  work,thumbs  job,team  abc,keep  keep,good  good,work</t>
  </si>
  <si>
    <t>awesome,job  abc,foundation  stuff,abc  foundation,awesome</t>
  </si>
  <si>
    <t>being,wife  family,life  germany,husband  life,continue  wife,country  husband,best  continue,good  sister,juliet  best,family  country,sierra</t>
  </si>
  <si>
    <t>great,thangs  naija,great  great,blessed  juliet,kehinde  omo,naija  keep,great  bless,love  work,rastafari  well,juliet  gambia,big</t>
  </si>
  <si>
    <t>healthcare,facility  excellent,treatment  facility,excellent  excellent,healthcare  staff,excellent  excellent,staff</t>
  </si>
  <si>
    <t>private,care  nhs,informative  care,comparable  comparable,nhs</t>
  </si>
  <si>
    <t>coming,home  diaspora,coming  good,doctors  gambia,good  home,develop  develop,country  doctors,diaspora</t>
  </si>
  <si>
    <t>information,juliet  important,information</t>
  </si>
  <si>
    <t>best,kept  gambia,africa  kept,secret  africa,best</t>
  </si>
  <si>
    <t>doctor,right  cost,doctor</t>
  </si>
  <si>
    <t>sister,love  excellent,sister</t>
  </si>
  <si>
    <t>heart,concerns  transitioning,diaspora  concerns,transitioning</t>
  </si>
  <si>
    <t>uncomfortably,clips  juliet,hurt  hurt,foot  waist,feet  feet,walking  walking,uncomfortably  foot,waist</t>
  </si>
  <si>
    <t>efficient,great  great,services  services,love  beautiful,efficient  juliet,beautiful</t>
  </si>
  <si>
    <t>streamlined,excellent  processes,optimized  optimized,streamlined  like,processes</t>
  </si>
  <si>
    <t>interesting,juliet</t>
  </si>
  <si>
    <t>care,gambia  pay,medical  gambia,sister  sister,juliet  juliet,reply  medical,care</t>
  </si>
  <si>
    <t>job,sister  nice,job</t>
  </si>
  <si>
    <t>keep,real  african,queen  real,good  queen,keep</t>
  </si>
  <si>
    <t>groceries,stores  tour,groceries  stores,markets</t>
  </si>
  <si>
    <t>wonderful,answering  great,work  answering,questions  questions,great</t>
  </si>
  <si>
    <t>love,sister</t>
  </si>
  <si>
    <t>important,information  sharing,important</t>
  </si>
  <si>
    <t>god,bless  awareness,god  family,god  black,people  bigger,development  people,greater  bless,bla  bla,xit  xit,family  development,awareness</t>
  </si>
  <si>
    <t>nice,post</t>
  </si>
  <si>
    <t>medical,equipment  family,medical  drug,consultant  job,sister  job,opportunity  good,job  bla,xit  equipment,consultant  xit,family  sister,job</t>
  </si>
  <si>
    <t>jamaica,black  black,professionals  professionals,life  life,good  job,juliet  good,job</t>
  </si>
  <si>
    <t>love,represent  flag,flying  keep,flag  flying,love  black,queen  queen,keep</t>
  </si>
  <si>
    <t>oppression,rulers  independence,1990  education,gambia  bla,xit  minority,white  africa,namibia  namibia,received  gambia,graduated  white,oppression  doctor,southern</t>
  </si>
  <si>
    <t>deeeeep,stuff  wow,deeeeep</t>
  </si>
  <si>
    <t>enlightening,vlog</t>
  </si>
  <si>
    <t>answering,questions  sec,blog  work,answering  healthcare,gambia  like,gambia  juliet,omg  queen,feel  watched,4mins  impressed,african  african,queen</t>
  </si>
  <si>
    <t>american,media  putting,american  civilized,lie  negative,africa  thinking,negative  media,thinking  lie,american  africa,civilized</t>
  </si>
  <si>
    <t>smh,happy  comments,smh</t>
  </si>
  <si>
    <t>standard,services  information,sister  praises,happy  bringing,information  juliet,hallelu  services,gambia  gambia,bringing  high,standard  hallelu,yah  happy,high</t>
  </si>
  <si>
    <t>keep,spreading  spreading,word  juliet,keep  work,juliet  great,work</t>
  </si>
  <si>
    <t>hit,like  button,watching  like,button</t>
  </si>
  <si>
    <t>unit,love  people,unit  intelligent,people  great,intelligent  africans,great</t>
  </si>
  <si>
    <t>african,brother  good,nice  great,work  queen,africa  nice,juliet  juliet,absolutely  hey,queen  absolutely,great  work,east  east,african</t>
  </si>
  <si>
    <t>love,content  content,planning  future,important  important,information  planning,gambia  gambia,future</t>
  </si>
  <si>
    <t>juliet,concern  cell,clinic  sis,juliet  great,listen  family,snd  listen,family  concern,sickle  care,great  clinic,speed  snd,bless</t>
  </si>
  <si>
    <t>continent,clinics  awesome,hope  care,skills  health,care  clinics,work  hope,people  storm,continent  skills,watching  people,health  watching,storm</t>
  </si>
  <si>
    <t>dress,like  like,mandingo  like,ur  ur,dress  mandingo,woman</t>
  </si>
  <si>
    <t>family,ryan  ve,missing  missing,family</t>
  </si>
  <si>
    <t>treatment,respect  prejudice,sister  trust,keep  well,western  lying,class  keep,disseminating  juliet,keep  sister,juliet  misconception,motherland  disseminating,news</t>
  </si>
  <si>
    <t>cleaner,better  offices,etc  better,organized  place,cleaner  lot,doctor  couple,lot  hospital,couple  organized,equipment  doctor,offices  medical,facilities</t>
  </si>
  <si>
    <t>gomez,originality  africans,yeah  paul,gomez  originality,africans</t>
  </si>
  <si>
    <t>search_query,23healinginafrika  th,uk  sick,th  long,wait  uk,long  23healinginafrika,#healinginafrika  hospital,results  results,search_query  wait,hospital</t>
  </si>
  <si>
    <t>people,world  africa,africa  proof,words  great,thing  words,great  world,obliterating  obliterating,myths  answering,questions  questions,proof  thing,people</t>
  </si>
  <si>
    <t>hands,care  calls,love  nurses,house  love,gambia  house,calls  gambia,sick  sick,people  gambia,great  good,care  care,gambia</t>
  </si>
  <si>
    <t>nice,facility</t>
  </si>
  <si>
    <t>africa,afford  care,clinic  care,africa  moving,maintain  deep,big  care,fork  dime,upfront  maintain,care  specialist,concern  fork,dime</t>
  </si>
  <si>
    <t>change,returnee  love,gambia  gambia,julia  influencing,change  returnee,plans  plans,lol  julia,influencing</t>
  </si>
  <si>
    <t>friendly,people</t>
  </si>
  <si>
    <t>black,time  happy,doctors  doctors,black</t>
  </si>
  <si>
    <t>dress,lovely</t>
  </si>
  <si>
    <t>dia,ganareis  ganareis,copa  beautiful,country  afri,disciplinados  disciplinados,futbolistas  precioso,pais  country,gambia  gambia,dia  futbolistas,precioso  copa,afri</t>
  </si>
  <si>
    <t>packing,bags  respiratory,therapist  therapist,packing</t>
  </si>
  <si>
    <t>great,juliet  juliet,informative</t>
  </si>
  <si>
    <t>ambassador,jules</t>
  </si>
  <si>
    <t>stop,working  fairness,respect  cut,spending  deception,inviting  spending,ethnic  block,spending  africa,moving  race,cut  hint,mistreatment  african,decent</t>
  </si>
  <si>
    <t>god,bless  family,god  ur,family  bless,ur  donate,ur  info,bla  ur,peace  peace,blessi  lookin,donate  good,info</t>
  </si>
  <si>
    <t>shine,born  born,child  god,shine  child,africa  loved,god</t>
  </si>
  <si>
    <t>vlogs,love  love,gambia  ve,learnt  lot,detailed  gambia,wait  ready,sewn  detailed,vlogs  return,2020  love,buy  informative,vlogs</t>
  </si>
  <si>
    <t>child,infection  like,friend  friend,child  infection,england</t>
  </si>
  <si>
    <t>wow,nice</t>
  </si>
  <si>
    <t>exists,ghana  clinic,exists  ghana,impressed  clinic,wow  wow,good  good,clinic  class,clinic  impressed,proud</t>
  </si>
  <si>
    <t>dialysis,greatest  black,people  doctors,states  diet,diabetic  diabetic,dialysis  states,africa  illnesses,sickness  greatest,doctors  improper,diet  people,states</t>
  </si>
  <si>
    <t>hospital,clean</t>
  </si>
  <si>
    <t>organs,heart  juliet,medical  important,juliet  gyn,eyes  child,birth  hope,meet  healthcare,insurances  care,bedside  main,organs  kidney,lungs</t>
  </si>
  <si>
    <t>krankenhaus,trotzdem  gambia,liebe  trotzdem,sauber  schön,fantastisch  fantastisch,krankenhaus  liebe,schwester  schwester,deutschland  sauber,gambia  deutschland,mag  danke,schön</t>
  </si>
  <si>
    <t>doctors,engineer  pay,pay  engineer,imagine  pay,doctor  place,africa  africa,doctors  africa,pay  payment,pay  beautiful,place  imagine,beautiful</t>
  </si>
  <si>
    <t>private,public  public,facility</t>
  </si>
  <si>
    <t>better,gambia  health,care  care,better  opposed,ghana  gambia,opposed  think,health</t>
  </si>
  <si>
    <t>sistar,work  work,coming  refreshing,sistar  coming,visit  goodness,refreshing</t>
  </si>
  <si>
    <t>located,transportation  centrally,located  information,clinic  clinic,centrally  good,information</t>
  </si>
  <si>
    <t>people,rich  fact,hire  courteous,people  lack,mannerisms  people,clients  feel,like  travel,cuba  poor,poor  thing,courteous  class,thing</t>
  </si>
  <si>
    <t>wait,long  chicago,wait  wow,chicago  20m,min  leave,comments  chicago,verify  min,wow  comments,chicago  long,leave</t>
  </si>
  <si>
    <t>tv,interview  hair,exhibition  thinking,energised  amazing,speech  exhibition,kept  directed,young  speech,curlytreats  education,living  speech,directed  living,clacton</t>
  </si>
  <si>
    <t>work,juliet  great,work  awesome,great</t>
  </si>
  <si>
    <t>stuff,stay  stay,bless  greetings,great  great,stuff</t>
  </si>
  <si>
    <t>american,insurance  insurance,american  insurance,cover  medicaid,medicare  cover,country  medicare,insurance</t>
  </si>
  <si>
    <t>foreign,qualified  qualified,doctors  admitted,foreign  department,health  health,admitted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</si>
  <si>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</si>
  <si>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</si>
  <si>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</si>
  <si>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</si>
  <si>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</si>
  <si>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</si>
  <si>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</si>
  <si>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</si>
  <si>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</si>
  <si>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</si>
  <si>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</si>
  <si>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</si>
  <si>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</si>
  <si>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</si>
  <si>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</si>
  <si>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</si>
  <si>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</si>
  <si>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</si>
  <si>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</si>
  <si>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</si>
  <si>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</si>
  <si>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</si>
  <si>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</si>
  <si>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</si>
  <si>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</si>
  <si>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</si>
  <si>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</si>
  <si>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</si>
  <si>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</si>
  <si>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</si>
  <si>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</si>
  <si>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</si>
  <si>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</si>
  <si>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</si>
  <si>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</si>
  <si>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</si>
  <si>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</si>
  <si>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</si>
  <si>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africa</t>
  </si>
  <si>
    <t>good</t>
  </si>
  <si>
    <t>care</t>
  </si>
  <si>
    <t>people</t>
  </si>
  <si>
    <t>love</t>
  </si>
  <si>
    <t>work</t>
  </si>
  <si>
    <t>like</t>
  </si>
  <si>
    <t>job</t>
  </si>
  <si>
    <t>keep</t>
  </si>
  <si>
    <t>sister</t>
  </si>
  <si>
    <t>anc</t>
  </si>
  <si>
    <t>health</t>
  </si>
  <si>
    <t>country</t>
  </si>
  <si>
    <t>clinic</t>
  </si>
  <si>
    <t>african</t>
  </si>
  <si>
    <t>family</t>
  </si>
  <si>
    <t>medical</t>
  </si>
  <si>
    <t>bless</t>
  </si>
  <si>
    <t>black</t>
  </si>
  <si>
    <t>pay</t>
  </si>
  <si>
    <t>viva</t>
  </si>
  <si>
    <t>excellent</t>
  </si>
  <si>
    <t>uk</t>
  </si>
  <si>
    <t>hospital</t>
  </si>
  <si>
    <t>healthcare</t>
  </si>
  <si>
    <t>cost</t>
  </si>
  <si>
    <t>information</t>
  </si>
  <si>
    <t>important</t>
  </si>
  <si>
    <t>private</t>
  </si>
  <si>
    <t>government</t>
  </si>
  <si>
    <t>god</t>
  </si>
  <si>
    <t>south</t>
  </si>
  <si>
    <t>nhs</t>
  </si>
  <si>
    <t>wow</t>
  </si>
  <si>
    <t>dr</t>
  </si>
  <si>
    <t>file</t>
  </si>
  <si>
    <t>paid</t>
  </si>
  <si>
    <t>hospitals</t>
  </si>
  <si>
    <t>bla</t>
  </si>
  <si>
    <t>equipment</t>
  </si>
  <si>
    <t>long</t>
  </si>
  <si>
    <t>queen</t>
  </si>
  <si>
    <t>waiting</t>
  </si>
  <si>
    <t>treatment</t>
  </si>
  <si>
    <t>time</t>
  </si>
  <si>
    <t>awesome</t>
  </si>
  <si>
    <t>thing</t>
  </si>
  <si>
    <t>xit</t>
  </si>
  <si>
    <t>american</t>
  </si>
  <si>
    <t>foreign</t>
  </si>
  <si>
    <t>feel</t>
  </si>
  <si>
    <t>facility</t>
  </si>
  <si>
    <t>doctor</t>
  </si>
  <si>
    <t>clinics</t>
  </si>
  <si>
    <t>comments</t>
  </si>
  <si>
    <t>info</t>
  </si>
  <si>
    <t>ghana</t>
  </si>
  <si>
    <t>ur</t>
  </si>
  <si>
    <t>plan</t>
  </si>
  <si>
    <t>living</t>
  </si>
  <si>
    <t>google</t>
  </si>
  <si>
    <t>happy</t>
  </si>
  <si>
    <t>best</t>
  </si>
  <si>
    <t>class</t>
  </si>
  <si>
    <t>child</t>
  </si>
  <si>
    <t>sick</t>
  </si>
  <si>
    <t>poor</t>
  </si>
  <si>
    <t>continent</t>
  </si>
  <si>
    <t>ve</t>
  </si>
  <si>
    <t>coming</t>
  </si>
  <si>
    <t>white</t>
  </si>
  <si>
    <t>better</t>
  </si>
  <si>
    <t>home</t>
  </si>
  <si>
    <t>questions</t>
  </si>
  <si>
    <t>concern</t>
  </si>
  <si>
    <t>world</t>
  </si>
  <si>
    <t>answering</t>
  </si>
  <si>
    <t>beautiful</t>
  </si>
  <si>
    <t>think</t>
  </si>
  <si>
    <t>diaspora</t>
  </si>
  <si>
    <t>moving</t>
  </si>
  <si>
    <t>life</t>
  </si>
  <si>
    <t>informative</t>
  </si>
  <si>
    <t>stuff</t>
  </si>
  <si>
    <t>well</t>
  </si>
  <si>
    <t>respect</t>
  </si>
  <si>
    <t>change</t>
  </si>
  <si>
    <t>media</t>
  </si>
  <si>
    <t>qualified</t>
  </si>
  <si>
    <t>power</t>
  </si>
  <si>
    <t>africans</t>
  </si>
  <si>
    <t>wait</t>
  </si>
  <si>
    <t>place</t>
  </si>
  <si>
    <t>germany</t>
  </si>
  <si>
    <t>etc</t>
  </si>
  <si>
    <t>being</t>
  </si>
  <si>
    <t>kept</t>
  </si>
  <si>
    <t>stole</t>
  </si>
  <si>
    <t>view</t>
  </si>
  <si>
    <t>sharing</t>
  </si>
  <si>
    <t>husband</t>
  </si>
  <si>
    <t>blessed</t>
  </si>
  <si>
    <t>usp</t>
  </si>
  <si>
    <t>insurance</t>
  </si>
  <si>
    <t>ltv</t>
  </si>
  <si>
    <t>speech</t>
  </si>
  <si>
    <t>couple</t>
  </si>
  <si>
    <t>education</t>
  </si>
  <si>
    <t>big</t>
  </si>
  <si>
    <t>chicago</t>
  </si>
  <si>
    <t>impressed</t>
  </si>
  <si>
    <t>services</t>
  </si>
  <si>
    <t>unemployed</t>
  </si>
  <si>
    <t>clean</t>
  </si>
  <si>
    <t>real</t>
  </si>
  <si>
    <t>ndc</t>
  </si>
  <si>
    <t>surgery</t>
  </si>
  <si>
    <t>matter</t>
  </si>
  <si>
    <t>nurses</t>
  </si>
  <si>
    <t>list</t>
  </si>
  <si>
    <t>brother</t>
  </si>
  <si>
    <t>pls</t>
  </si>
  <si>
    <t>1ssca1fwje6frmsyvgychgs_w5ocovri7</t>
  </si>
  <si>
    <t>sis</t>
  </si>
  <si>
    <t>trained</t>
  </si>
  <si>
    <t>walking</t>
  </si>
  <si>
    <t>00</t>
  </si>
  <si>
    <t>dress</t>
  </si>
  <si>
    <t>opposed</t>
  </si>
  <si>
    <t>ethiopia</t>
  </si>
  <si>
    <t>greetings</t>
  </si>
  <si>
    <t>talking</t>
  </si>
  <si>
    <t>money</t>
  </si>
  <si>
    <t>check</t>
  </si>
  <si>
    <t>hope</t>
  </si>
  <si>
    <t>countries</t>
  </si>
  <si>
    <t>blood</t>
  </si>
  <si>
    <t>6otko3xin34</t>
  </si>
  <si>
    <t>darkness</t>
  </si>
  <si>
    <t>lot</t>
  </si>
  <si>
    <t>news</t>
  </si>
  <si>
    <t>protesters</t>
  </si>
  <si>
    <t>abc</t>
  </si>
  <si>
    <t>consultant</t>
  </si>
  <si>
    <t>department</t>
  </si>
  <si>
    <t>future</t>
  </si>
  <si>
    <t>local</t>
  </si>
  <si>
    <t>thinking</t>
  </si>
  <si>
    <t>vulnerable</t>
  </si>
  <si>
    <t>specialist</t>
  </si>
  <si>
    <t>drive_web</t>
  </si>
  <si>
    <t>travel</t>
  </si>
  <si>
    <t>meet</t>
  </si>
  <si>
    <t>heart</t>
  </si>
  <si>
    <t>drive</t>
  </si>
  <si>
    <t>bro</t>
  </si>
  <si>
    <t>watching</t>
  </si>
  <si>
    <t>proud</t>
  </si>
  <si>
    <t>hands</t>
  </si>
  <si>
    <t>stop</t>
  </si>
  <si>
    <t>yeah</t>
  </si>
  <si>
    <t>right</t>
  </si>
  <si>
    <t>vlogs</t>
  </si>
  <si>
    <t>employ</t>
  </si>
  <si>
    <t>spending</t>
  </si>
  <si>
    <t>jobs</t>
  </si>
  <si>
    <t>facilities</t>
  </si>
  <si>
    <t>states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</si>
  <si>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</si>
  <si>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</si>
  <si>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</si>
  <si>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</si>
  <si>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</si>
  <si>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</si>
  <si>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</si>
  <si>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</si>
  <si>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</si>
  <si>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</si>
  <si>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</si>
  <si>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</si>
  <si>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</si>
  <si>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</si>
  <si>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</si>
  <si>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</si>
  <si>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</si>
  <si>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</si>
  <si>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</si>
  <si>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</si>
  <si>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</si>
  <si>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</si>
  <si>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</si>
  <si>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</si>
  <si>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</si>
  <si>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</si>
  <si>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</si>
  <si>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</si>
  <si>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</si>
  <si>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</si>
  <si>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</si>
  <si>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</si>
  <si>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</si>
  <si>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</si>
  <si>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</si>
  <si>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</si>
  <si>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</si>
  <si>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</si>
  <si>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</si>
  <si>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</si>
  <si>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"C:\Users\g-manu2208.RMITVNNET\Downloads\affrica 1.graphml".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</si>
  <si>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</si>
  <si>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</si>
  <si>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</si>
  <si>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</si>
  <si>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</si>
  <si>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</si>
  <si>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</si>
  <si>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</si>
  <si>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</si>
  <si>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</si>
  <si>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https://youtu.be/6oTKO3XiN34</t>
  </si>
  <si>
    <t>https://drive.google.com/file/d/1ssca1FWJE6FRmSYvgyCHGs_W5ocOvRI7/view?usp=drive_web</t>
  </si>
  <si>
    <t>http://www.youtube.com/results?search_query=%23healinginafrika</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</si>
  <si>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</si>
  <si>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</si>
  <si>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</si>
  <si>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</si>
  <si>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</si>
  <si>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</si>
  <si>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</si>
  <si>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</si>
  <si>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</si>
  <si>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</si>
  <si>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</si>
  <si>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</si>
  <si>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</si>
  <si>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</si>
  <si>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</si>
  <si>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</si>
  <si>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</si>
  <si>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</si>
  <si>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</si>
  <si>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</si>
  <si>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</si>
  <si>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</si>
  <si>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</si>
  <si>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</si>
  <si>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</si>
  <si>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</si>
  <si>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</si>
  <si>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</si>
  <si>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</si>
  <si>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</si>
  <si>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</si>
  <si>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</si>
  <si>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</si>
  <si>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</si>
  <si>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</si>
  <si>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</si>
  <si>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</si>
  <si>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</si>
  <si>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</si>
  <si>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</si>
  <si>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</si>
  <si>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</si>
  <si>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</si>
  <si>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</si>
  <si>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</si>
  <si>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</si>
  <si>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</si>
  <si>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</si>
  <si>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</si>
  <si>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</si>
  <si>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</si>
  <si>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</si>
  <si>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</si>
  <si>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</si>
  <si>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</si>
  <si>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</si>
  <si>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</si>
  <si>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</si>
  <si>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
  </si>
  <si>
    <t>government ndc</t>
  </si>
  <si>
    <t>file google drive_web great view drive 1ssca1fwje6frmsyvgychgs_w5ocovri7 usp</t>
  </si>
  <si>
    <t>abc job 6otko3xin34</t>
  </si>
  <si>
    <t>ltv pls protesters</t>
  </si>
  <si>
    <t>Top Word Pairs in Comment in Entire Graph</t>
  </si>
  <si>
    <t>health,care</t>
  </si>
  <si>
    <t>great,work</t>
  </si>
  <si>
    <t>south,africa</t>
  </si>
  <si>
    <t>bla,xit</t>
  </si>
  <si>
    <t>god,bless</t>
  </si>
  <si>
    <t>sister,juliet</t>
  </si>
  <si>
    <t>care,gambia</t>
  </si>
  <si>
    <t>viva,anc</t>
  </si>
  <si>
    <t>great,job</t>
  </si>
  <si>
    <t>answering,questions</t>
  </si>
  <si>
    <t>Top Word Pairs in Comment in G1</t>
  </si>
  <si>
    <t>important,information</t>
  </si>
  <si>
    <t>good,job</t>
  </si>
  <si>
    <t>love,gambia</t>
  </si>
  <si>
    <t>Top Word Pairs in Comment in G2</t>
  </si>
  <si>
    <t>Top Word Pairs in Comment in G3</t>
  </si>
  <si>
    <t>anc,viva</t>
  </si>
  <si>
    <t>department,health</t>
  </si>
  <si>
    <t>qualified,doctors</t>
  </si>
  <si>
    <t>darkness,viva</t>
  </si>
  <si>
    <t>power,qualified</t>
  </si>
  <si>
    <t>Top Word Pairs in Comment in G4</t>
  </si>
  <si>
    <t>Top Word Pairs in Comment in G5</t>
  </si>
  <si>
    <t>Top Word Pairs in Comment in G6</t>
  </si>
  <si>
    <t>drive,google</t>
  </si>
  <si>
    <t>file,1ssca1fwje6frmsyvgychgs_w5ocovri7</t>
  </si>
  <si>
    <t>google,file</t>
  </si>
  <si>
    <t>1ssca1fwje6frmsyvgychgs_w5ocovri7,view</t>
  </si>
  <si>
    <t>usp,drive_web</t>
  </si>
  <si>
    <t>view,usp</t>
  </si>
  <si>
    <t>Top Word Pairs in Comment in G7</t>
  </si>
  <si>
    <t>Top Word Pairs in Comment in G8</t>
  </si>
  <si>
    <t>Top Word Pairs in Comment in G9</t>
  </si>
  <si>
    <t>Top Word Pairs in Comment in G10</t>
  </si>
  <si>
    <t>Top Word Pairs in Comment</t>
  </si>
  <si>
    <t>health,care  great,work  bla,xit  sister,juliet  god,bless  care,gambia  answering,questions  important,information  good,job  love,gambia</t>
  </si>
  <si>
    <t>south,africa  anc,viva  viva,anc  department,health  qualified,doctors  darkness,viva  power,qualified</t>
  </si>
  <si>
    <t>drive,google  file,1ssca1fwje6frmsyvgychgs_w5ocovri7  google,file  1ssca1fwje6frmsyvgychgs_w5ocovri7,view  usp,drive_web  view,usp</t>
  </si>
  <si>
    <t>shortage canada 18 orthopedic surgery list specialists months waiting</t>
  </si>
  <si>
    <t>health paid care like cost uk 00 healthcare waiting nhs</t>
  </si>
  <si>
    <t>uk list couple juliet truth people talking heard relocate critize</t>
  </si>
  <si>
    <t>clinics hospitals volunteering private doctors info drop register assistant clinic</t>
  </si>
  <si>
    <t>interesting juliet reach job hospital great african germany live</t>
  </si>
  <si>
    <t>care medical cost</t>
  </si>
  <si>
    <t>shortage,specialists  list,18  canada,orthopedic  18,months  specialists,canada  orthopedic,surgery  waiting,list  surgery,waiting</t>
  </si>
  <si>
    <t>health,care  nhs,paid  care,uk  comparison,like  like,paid  170,00  00,item  cost,170  reasonable,hospitals  00,month</t>
  </si>
  <si>
    <t>heard,white  white,couple  fast,juliet  talking,truth  list,operations  relocate,uk  critize,sister  south,africa  operations,fast  nhs,waiting</t>
  </si>
  <si>
    <t>clinics,hospitals  hospitals,open  interested,volunteering  register,private  assistant,doctors  physician,assistant  open,register  clinic,clinics  volunteering,clinic  private,clinics</t>
  </si>
  <si>
    <t>live,germany  juliet,live  interesting,hospital  hospital,reach  african,interesting  great,job  job,african  reach,juliet</t>
  </si>
  <si>
    <t>care,cost  medical,care</t>
  </si>
  <si>
    <t>Count of Published At</t>
  </si>
  <si>
    <t>Row Labels</t>
  </si>
  <si>
    <t>Grand Total</t>
  </si>
  <si>
    <t>2011</t>
  </si>
  <si>
    <t>Dec</t>
  </si>
  <si>
    <t>6-Dec</t>
  </si>
  <si>
    <t>2013</t>
  </si>
  <si>
    <t>Oct</t>
  </si>
  <si>
    <t>15-Oct</t>
  </si>
  <si>
    <t>2014</t>
  </si>
  <si>
    <t>Mar</t>
  </si>
  <si>
    <t>18-Mar</t>
  </si>
  <si>
    <t>2015</t>
  </si>
  <si>
    <t>Nov</t>
  </si>
  <si>
    <t>12-Nov</t>
  </si>
  <si>
    <t>9-Dec</t>
  </si>
  <si>
    <t>2016</t>
  </si>
  <si>
    <t>5-Mar</t>
  </si>
  <si>
    <t>6-Mar</t>
  </si>
  <si>
    <t>Sep</t>
  </si>
  <si>
    <t>10-Sep</t>
  </si>
  <si>
    <t>10-Nov</t>
  </si>
  <si>
    <t>2017</t>
  </si>
  <si>
    <t>May</t>
  </si>
  <si>
    <t>31-May</t>
  </si>
  <si>
    <t>Jul</t>
  </si>
  <si>
    <t>12-Jul</t>
  </si>
  <si>
    <t>20-Sep</t>
  </si>
  <si>
    <t>2018</t>
  </si>
  <si>
    <t>Jan</t>
  </si>
  <si>
    <t>16-Jan</t>
  </si>
  <si>
    <t>21-Jan</t>
  </si>
  <si>
    <t>Feb</t>
  </si>
  <si>
    <t>24-Feb</t>
  </si>
  <si>
    <t>25-Feb</t>
  </si>
  <si>
    <t>19-Jul</t>
  </si>
  <si>
    <t>2019</t>
  </si>
  <si>
    <t>31-Jul</t>
  </si>
  <si>
    <t>Aug</t>
  </si>
  <si>
    <t>9-Aug</t>
  </si>
  <si>
    <t>15-Aug</t>
  </si>
  <si>
    <t>5-Oct</t>
  </si>
  <si>
    <t>6-Oct</t>
  </si>
  <si>
    <t>7-Oct</t>
  </si>
  <si>
    <t>8-Oct</t>
  </si>
  <si>
    <t>9-Oct</t>
  </si>
  <si>
    <t>10-Oct</t>
  </si>
  <si>
    <t>11-Oct</t>
  </si>
  <si>
    <t>12-Oct</t>
  </si>
  <si>
    <t>21-Oct</t>
  </si>
  <si>
    <t>27-Oct</t>
  </si>
  <si>
    <t>23-Dec</t>
  </si>
  <si>
    <t>2021</t>
  </si>
  <si>
    <t>20-Jan</t>
  </si>
  <si>
    <t>3-Feb</t>
  </si>
  <si>
    <t>21-Mar</t>
  </si>
  <si>
    <t>Apr</t>
  </si>
  <si>
    <t>16-Apr</t>
  </si>
  <si>
    <t>Jun</t>
  </si>
  <si>
    <t>11-Jun</t>
  </si>
  <si>
    <t>14-Jun</t>
  </si>
  <si>
    <t>10-Jul</t>
  </si>
  <si>
    <t>17-Jul</t>
  </si>
  <si>
    <t>19-Dec</t>
  </si>
  <si>
    <t>28-Dec</t>
  </si>
  <si>
    <t>29-Dec</t>
  </si>
  <si>
    <t>31-Dec</t>
  </si>
  <si>
    <t>2022</t>
  </si>
  <si>
    <t>4-Feb</t>
  </si>
  <si>
    <t>8-May</t>
  </si>
  <si>
    <t>26-May</t>
  </si>
  <si>
    <t>18-Jun</t>
  </si>
  <si>
    <t>11-Jul</t>
  </si>
  <si>
    <t>17-Sep</t>
  </si>
  <si>
    <t>23-Sep</t>
  </si>
  <si>
    <t>24-Sep</t>
  </si>
  <si>
    <t>25-Sep</t>
  </si>
  <si>
    <t>26-Sep</t>
  </si>
  <si>
    <t>30-Sep</t>
  </si>
  <si>
    <t>8-Nov</t>
  </si>
  <si>
    <t>2023</t>
  </si>
  <si>
    <t>11-Jan</t>
  </si>
  <si>
    <t>13-Jan</t>
  </si>
  <si>
    <t>28-Feb</t>
  </si>
  <si>
    <t>27-May</t>
  </si>
  <si>
    <t>2-Jul</t>
  </si>
  <si>
    <t>5-Aug</t>
  </si>
  <si>
    <t>12-Aug</t>
  </si>
  <si>
    <t>14-Aug</t>
  </si>
  <si>
    <t>9-Sep</t>
  </si>
  <si>
    <t>11-Sep</t>
  </si>
  <si>
    <t>12-Sep</t>
  </si>
  <si>
    <t>14-Sep</t>
  </si>
  <si>
    <t>154, 102, 102</t>
  </si>
  <si>
    <t>196, 59, 59</t>
  </si>
  <si>
    <t>G1: juliet gambia great care africa good love people like sister</t>
  </si>
  <si>
    <t>G3: anc doctors viva africa south health foreign plan qualified continent</t>
  </si>
  <si>
    <t>G5: government ndc</t>
  </si>
  <si>
    <t>G6: file google drive_web great view drive 1ssca1fwje6frmsyvgychgs_w5ocovri7 usp</t>
  </si>
  <si>
    <t>G7: abc job 6otko3xin34</t>
  </si>
  <si>
    <t>G13: ltv pls protesters</t>
  </si>
  <si>
    <t>Edge Weight▓1▓16▓0▓True▓Gray▓Red▓▓Edge Weight▓1▓1▓0▓3▓10▓False▓Edge Weight▓1▓1▓0▓40▓15▓False▓▓0▓0▓0▓True▓Black▓Black▓▓Betweenness Centrality▓0▓462▓3▓150▓1000▓False▓▓0▓0▓0▓0▓0▓False▓▓0▓0▓0▓0▓0▓False▓▓0▓0▓0▓0▓0▓False</t>
  </si>
  <si>
    <t>ImportDescription░The graph was imported from the GraphML file "C:\Users\g-manu2208.RMITVNNET\Downloads\affrica 1.graphml".▓GroupingDescription░The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</si>
  <si>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</si>
  <si>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juliet gambia africa care great good people love like sister</t>
  </si>
  <si>
    <t>doctors anc viva africa south health plan foreign qualified continent</t>
  </si>
  <si>
    <t>"UseFixedAspectRatio"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BrandesFastCentralities, EigenvectorCentrality, OverallMetrics, GroupMetrics, TopNBy, Words&lt;/value&gt;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t>
  </si>
  <si>
    <t xml:space="preserve">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t>
  </si>
  <si>
    <t>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t>
  </si>
  <si>
    <t>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t>
  </si>
  <si>
    <t>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t>
  </si>
  <si>
    <t>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t>
  </si>
  <si>
    <t>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t>
  </si>
  <si>
    <t>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
  </si>
  <si>
    <t>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t>
  </si>
  <si>
    <t>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t>
  </si>
  <si>
    <t xml:space="preserv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t>
  </si>
  <si>
    <t>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t>
  </si>
  <si>
    <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t>
  </si>
  <si>
    <t xml:space="preserve">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t>
  </si>
  <si>
    <t>https://nodexlgraphgallery.org/Pages/Graph.aspx?graphID=292562</t>
  </si>
  <si>
    <t>https://nodexlgraphgallery.org/Images/Image.ashx?graphID=292562&amp;type=f</t>
  </si>
  <si>
    <t xml:space="preserve">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t>
  </si>
  <si>
    <t>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</si>
</sst>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443464"/>
        <c:axId val="63664585"/>
      </c:barChart>
      <c:catAx>
        <c:axId val="29443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64585"/>
        <c:crosses val="autoZero"/>
        <c:auto val="1"/>
        <c:lblOffset val="100"/>
        <c:noMultiLvlLbl val="0"/>
      </c:catAx>
      <c:valAx>
        <c:axId val="63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73"/>
                <c:pt idx="0">
                  <c:v>6-Dec
Dec
2011</c:v>
                </c:pt>
                <c:pt idx="1">
                  <c:v>15-Oct
Oct
2013</c:v>
                </c:pt>
                <c:pt idx="2">
                  <c:v>18-Mar
Mar
2014</c:v>
                </c:pt>
                <c:pt idx="3">
                  <c:v>12-Nov
Nov
2015</c:v>
                </c:pt>
                <c:pt idx="4">
                  <c:v>9-Dec
Dec</c:v>
                </c:pt>
                <c:pt idx="5">
                  <c:v>5-Mar
Mar
2016</c:v>
                </c:pt>
                <c:pt idx="6">
                  <c:v>6-Mar</c:v>
                </c:pt>
                <c:pt idx="7">
                  <c:v>10-Sep
Sep</c:v>
                </c:pt>
                <c:pt idx="8">
                  <c:v>10-Nov
Nov</c:v>
                </c:pt>
                <c:pt idx="9">
                  <c:v>31-May
May
2017</c:v>
                </c:pt>
                <c:pt idx="10">
                  <c:v>12-Jul
Jul</c:v>
                </c:pt>
                <c:pt idx="11">
                  <c:v>20-Sep
Sep</c:v>
                </c:pt>
                <c:pt idx="12">
                  <c:v>16-Jan
Jan
2018</c:v>
                </c:pt>
                <c:pt idx="13">
                  <c:v>21-Jan</c:v>
                </c:pt>
                <c:pt idx="14">
                  <c:v>24-Feb
Feb</c:v>
                </c:pt>
                <c:pt idx="15">
                  <c:v>25-Feb</c:v>
                </c:pt>
                <c:pt idx="16">
                  <c:v>19-Jul
Jul</c:v>
                </c:pt>
                <c:pt idx="17">
                  <c:v>31-Jul
Jul
2019</c:v>
                </c:pt>
                <c:pt idx="18">
                  <c:v>9-Aug
Aug</c:v>
                </c:pt>
                <c:pt idx="19">
                  <c:v>15-Aug</c:v>
                </c:pt>
                <c:pt idx="20">
                  <c:v>5-Oct
Oct</c:v>
                </c:pt>
                <c:pt idx="21">
                  <c:v>6-Oct</c:v>
                </c:pt>
                <c:pt idx="22">
                  <c:v>7-Oct</c:v>
                </c:pt>
                <c:pt idx="23">
                  <c:v>8-Oct</c:v>
                </c:pt>
                <c:pt idx="24">
                  <c:v>9-Oct</c:v>
                </c:pt>
                <c:pt idx="25">
                  <c:v>10-Oct</c:v>
                </c:pt>
                <c:pt idx="26">
                  <c:v>11-Oct</c:v>
                </c:pt>
                <c:pt idx="27">
                  <c:v>12-Oct</c:v>
                </c:pt>
                <c:pt idx="28">
                  <c:v>15-Oct</c:v>
                </c:pt>
                <c:pt idx="29">
                  <c:v>21-Oct</c:v>
                </c:pt>
                <c:pt idx="30">
                  <c:v>27-Oct</c:v>
                </c:pt>
                <c:pt idx="31">
                  <c:v>23-Dec
Dec</c:v>
                </c:pt>
                <c:pt idx="32">
                  <c:v>20-Jan
Jan
2021</c:v>
                </c:pt>
                <c:pt idx="33">
                  <c:v>3-Feb
Feb</c:v>
                </c:pt>
                <c:pt idx="34">
                  <c:v>21-Mar
Mar</c:v>
                </c:pt>
                <c:pt idx="35">
                  <c:v>16-Apr
Apr</c:v>
                </c:pt>
                <c:pt idx="36">
                  <c:v>11-Jun
Jun</c:v>
                </c:pt>
                <c:pt idx="37">
                  <c:v>14-Jun</c:v>
                </c:pt>
                <c:pt idx="38">
                  <c:v>10-Jul
Jul</c:v>
                </c:pt>
                <c:pt idx="39">
                  <c:v>17-Jul</c:v>
                </c:pt>
                <c:pt idx="40">
                  <c:v>12-Nov
Nov</c:v>
                </c:pt>
                <c:pt idx="41">
                  <c:v>19-Dec
Dec</c:v>
                </c:pt>
                <c:pt idx="42">
                  <c:v>28-Dec</c:v>
                </c:pt>
                <c:pt idx="43">
                  <c:v>29-Dec</c:v>
                </c:pt>
                <c:pt idx="44">
                  <c:v>31-Dec</c:v>
                </c:pt>
                <c:pt idx="45">
                  <c:v>3-Feb
Feb
2022</c:v>
                </c:pt>
                <c:pt idx="46">
                  <c:v>4-Feb</c:v>
                </c:pt>
                <c:pt idx="47">
                  <c:v>8-May
May</c:v>
                </c:pt>
                <c:pt idx="48">
                  <c:v>26-May</c:v>
                </c:pt>
                <c:pt idx="49">
                  <c:v>18-Jun
Jun</c:v>
                </c:pt>
                <c:pt idx="50">
                  <c:v>11-Jul
Jul</c:v>
                </c:pt>
                <c:pt idx="51">
                  <c:v>10-Sep
Sep</c:v>
                </c:pt>
                <c:pt idx="52">
                  <c:v>17-Sep</c:v>
                </c:pt>
                <c:pt idx="53">
                  <c:v>23-Sep</c:v>
                </c:pt>
                <c:pt idx="54">
                  <c:v>24-Sep</c:v>
                </c:pt>
                <c:pt idx="55">
                  <c:v>25-Sep</c:v>
                </c:pt>
                <c:pt idx="56">
                  <c:v>26-Sep</c:v>
                </c:pt>
                <c:pt idx="57">
                  <c:v>30-Sep</c:v>
                </c:pt>
                <c:pt idx="58">
                  <c:v>8-Nov
Nov</c:v>
                </c:pt>
                <c:pt idx="59">
                  <c:v>6-Dec
Dec</c:v>
                </c:pt>
                <c:pt idx="60">
                  <c:v>11-Jan
Jan
2023</c:v>
                </c:pt>
                <c:pt idx="61">
                  <c:v>13-Jan</c:v>
                </c:pt>
                <c:pt idx="62">
                  <c:v>28-Feb
Feb</c:v>
                </c:pt>
                <c:pt idx="63">
                  <c:v>27-May
May</c:v>
                </c:pt>
                <c:pt idx="64">
                  <c:v>2-Jul
Jul</c:v>
                </c:pt>
                <c:pt idx="65">
                  <c:v>5-Aug
Aug</c:v>
                </c:pt>
                <c:pt idx="66">
                  <c:v>12-Aug</c:v>
                </c:pt>
                <c:pt idx="67">
                  <c:v>14-Aug</c:v>
                </c:pt>
                <c:pt idx="68">
                  <c:v>9-Sep
Sep</c:v>
                </c:pt>
                <c:pt idx="69">
                  <c:v>10-Sep</c:v>
                </c:pt>
                <c:pt idx="70">
                  <c:v>11-Sep</c:v>
                </c:pt>
                <c:pt idx="71">
                  <c:v>12-Sep</c:v>
                </c:pt>
                <c:pt idx="72">
                  <c:v>14-Sep</c:v>
                </c:pt>
              </c:strCache>
            </c:strRef>
          </c:cat>
          <c:val>
            <c:numRef>
              <c:f>'Time Series'!$B$26:$B$149</c:f>
              <c:numCache>
                <c:formatCode>General</c:formatCode>
                <c:ptCount val="73"/>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1</c:v>
                </c:pt>
                <c:pt idx="16">
                  <c:v>1</c:v>
                </c:pt>
                <c:pt idx="17">
                  <c:v>2</c:v>
                </c:pt>
                <c:pt idx="18">
                  <c:v>1</c:v>
                </c:pt>
                <c:pt idx="19">
                  <c:v>1</c:v>
                </c:pt>
                <c:pt idx="20">
                  <c:v>22</c:v>
                </c:pt>
                <c:pt idx="21">
                  <c:v>46</c:v>
                </c:pt>
                <c:pt idx="22">
                  <c:v>11</c:v>
                </c:pt>
                <c:pt idx="23">
                  <c:v>4</c:v>
                </c:pt>
                <c:pt idx="24">
                  <c:v>2</c:v>
                </c:pt>
                <c:pt idx="25">
                  <c:v>1</c:v>
                </c:pt>
                <c:pt idx="26">
                  <c:v>1</c:v>
                </c:pt>
                <c:pt idx="27">
                  <c:v>1</c:v>
                </c:pt>
                <c:pt idx="28">
                  <c:v>1</c:v>
                </c:pt>
                <c:pt idx="29">
                  <c:v>1</c:v>
                </c:pt>
                <c:pt idx="30">
                  <c:v>1</c:v>
                </c:pt>
                <c:pt idx="31">
                  <c:v>1</c:v>
                </c:pt>
                <c:pt idx="32">
                  <c:v>1</c:v>
                </c:pt>
                <c:pt idx="33">
                  <c:v>4</c:v>
                </c:pt>
                <c:pt idx="34">
                  <c:v>1</c:v>
                </c:pt>
                <c:pt idx="35">
                  <c:v>2</c:v>
                </c:pt>
                <c:pt idx="36">
                  <c:v>1</c:v>
                </c:pt>
                <c:pt idx="37">
                  <c:v>2</c:v>
                </c:pt>
                <c:pt idx="38">
                  <c:v>1</c:v>
                </c:pt>
                <c:pt idx="39">
                  <c:v>1</c:v>
                </c:pt>
                <c:pt idx="40">
                  <c:v>1</c:v>
                </c:pt>
                <c:pt idx="41">
                  <c:v>1</c:v>
                </c:pt>
                <c:pt idx="42">
                  <c:v>1</c:v>
                </c:pt>
                <c:pt idx="43">
                  <c:v>4</c:v>
                </c:pt>
                <c:pt idx="44">
                  <c:v>1</c:v>
                </c:pt>
                <c:pt idx="45">
                  <c:v>2</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13</c:v>
                </c:pt>
                <c:pt idx="69">
                  <c:v>1</c:v>
                </c:pt>
                <c:pt idx="70">
                  <c:v>2</c:v>
                </c:pt>
                <c:pt idx="71">
                  <c:v>1</c:v>
                </c:pt>
                <c:pt idx="72">
                  <c:v>1</c:v>
                </c:pt>
              </c:numCache>
            </c:numRef>
          </c:val>
        </c:ser>
        <c:axId val="34286818"/>
        <c:axId val="40145907"/>
      </c:barChart>
      <c:catAx>
        <c:axId val="34286818"/>
        <c:scaling>
          <c:orientation val="minMax"/>
        </c:scaling>
        <c:axPos val="b"/>
        <c:delete val="0"/>
        <c:numFmt formatCode="General" sourceLinked="1"/>
        <c:majorTickMark val="out"/>
        <c:minorTickMark val="none"/>
        <c:tickLblPos val="nextTo"/>
        <c:crossAx val="40145907"/>
        <c:crosses val="autoZero"/>
        <c:auto val="1"/>
        <c:lblOffset val="100"/>
        <c:noMultiLvlLbl val="0"/>
      </c:catAx>
      <c:valAx>
        <c:axId val="40145907"/>
        <c:scaling>
          <c:orientation val="minMax"/>
        </c:scaling>
        <c:axPos val="l"/>
        <c:majorGridlines/>
        <c:delete val="0"/>
        <c:numFmt formatCode="General" sourceLinked="1"/>
        <c:majorTickMark val="out"/>
        <c:minorTickMark val="none"/>
        <c:tickLblPos val="nextTo"/>
        <c:crossAx val="34286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10354"/>
        <c:axId val="56557731"/>
      </c:barChart>
      <c:catAx>
        <c:axId val="361103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57731"/>
        <c:crosses val="autoZero"/>
        <c:auto val="1"/>
        <c:lblOffset val="100"/>
        <c:noMultiLvlLbl val="0"/>
      </c:catAx>
      <c:valAx>
        <c:axId val="5655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57532"/>
        <c:axId val="17773469"/>
      </c:barChart>
      <c:catAx>
        <c:axId val="39257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773469"/>
        <c:crosses val="autoZero"/>
        <c:auto val="1"/>
        <c:lblOffset val="100"/>
        <c:noMultiLvlLbl val="0"/>
      </c:catAx>
      <c:valAx>
        <c:axId val="1777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43494"/>
        <c:axId val="30364855"/>
      </c:barChart>
      <c:catAx>
        <c:axId val="257434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364855"/>
        <c:crosses val="autoZero"/>
        <c:auto val="1"/>
        <c:lblOffset val="100"/>
        <c:noMultiLvlLbl val="0"/>
      </c:catAx>
      <c:valAx>
        <c:axId val="30364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3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48240"/>
        <c:axId val="43634161"/>
      </c:barChart>
      <c:catAx>
        <c:axId val="48482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34161"/>
        <c:crosses val="autoZero"/>
        <c:auto val="1"/>
        <c:lblOffset val="100"/>
        <c:noMultiLvlLbl val="0"/>
      </c:catAx>
      <c:valAx>
        <c:axId val="43634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163130"/>
        <c:axId val="44706123"/>
      </c:barChart>
      <c:catAx>
        <c:axId val="571631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06123"/>
        <c:crosses val="autoZero"/>
        <c:auto val="1"/>
        <c:lblOffset val="100"/>
        <c:noMultiLvlLbl val="0"/>
      </c:catAx>
      <c:valAx>
        <c:axId val="44706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3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810788"/>
        <c:axId val="64426181"/>
      </c:barChart>
      <c:catAx>
        <c:axId val="66810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426181"/>
        <c:crosses val="autoZero"/>
        <c:auto val="1"/>
        <c:lblOffset val="100"/>
        <c:noMultiLvlLbl val="0"/>
      </c:catAx>
      <c:valAx>
        <c:axId val="64426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964718"/>
        <c:axId val="51138143"/>
      </c:barChart>
      <c:catAx>
        <c:axId val="429647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138143"/>
        <c:crosses val="autoZero"/>
        <c:auto val="1"/>
        <c:lblOffset val="100"/>
        <c:noMultiLvlLbl val="0"/>
      </c:catAx>
      <c:valAx>
        <c:axId val="51138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6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590104"/>
        <c:axId val="48548889"/>
      </c:barChart>
      <c:catAx>
        <c:axId val="57590104"/>
        <c:scaling>
          <c:orientation val="minMax"/>
        </c:scaling>
        <c:axPos val="b"/>
        <c:delete val="1"/>
        <c:majorTickMark val="out"/>
        <c:minorTickMark val="none"/>
        <c:tickLblPos val="none"/>
        <c:crossAx val="48548889"/>
        <c:crosses val="autoZero"/>
        <c:auto val="1"/>
        <c:lblOffset val="100"/>
        <c:noMultiLvlLbl val="0"/>
      </c:catAx>
      <c:valAx>
        <c:axId val="48548889"/>
        <c:scaling>
          <c:orientation val="minMax"/>
        </c:scaling>
        <c:axPos val="l"/>
        <c:delete val="1"/>
        <c:majorTickMark val="out"/>
        <c:minorTickMark val="none"/>
        <c:tickLblPos val="none"/>
        <c:crossAx val="575901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g-manu2208" refreshedVersion="6">
  <cacheSource type="worksheet">
    <worksheetSource ref="A2:AP18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1-12-29T00:20:47.000"/>
        <d v="2021-12-29T01:44:55.000"/>
        <d v="2021-12-29T10:04:48.000"/>
        <d v="2021-12-29T16:39:11.000"/>
        <d v="2021-12-28T23:42:25.000"/>
        <d v="2021-12-31T09:08:08.000"/>
        <d v="2021-06-14T21:11:07.000"/>
        <d v="2021-06-11T23:23:17.000"/>
        <d v="2016-03-06T00:04:05.000"/>
        <d v="2016-09-10T06:09:49.000"/>
        <d v="2018-02-24T22:45:09.000"/>
        <d v="2018-02-24T23:02:28.000"/>
        <d v="2018-02-25T00:42:27.000"/>
        <d v="2016-03-05T01:34:26.000"/>
        <d v="2022-09-30T21:45:47.000"/>
        <d v="2021-02-03T17:00:11.000"/>
        <d v="2021-02-03T16:58:48.000"/>
        <d v="2021-02-03T19:40:15.000"/>
        <d v="2022-05-26T03:47:51.000"/>
        <d v="2017-07-12T21:23:44.000"/>
        <d v="2018-01-21T17:18:06.000"/>
        <d v="2018-01-21T13:56:21.000"/>
        <d v="2022-09-23T22:33:10.000"/>
        <d v="2022-09-23T23:59:39.000"/>
        <d v="2022-09-24T02:03:43.000"/>
        <d v="2022-09-24T18:13:08.000"/>
        <d v="2022-09-25T19:36:33.000"/>
        <d v="2023-09-09T03:48:32.000"/>
        <d v="2022-09-26T17:35:23.000"/>
        <d v="2019-07-31T21:06:42.000"/>
        <d v="2019-08-09T10:32:36.000"/>
        <d v="2019-08-15T15:17:59.000"/>
        <d v="2019-07-31T21:12:43.000"/>
        <d v="2021-03-21T18:44:00.000"/>
        <d v="2021-04-16T05:01:32.000"/>
        <d v="2021-04-16T04:42:53.000"/>
        <d v="2023-07-02T18:46:59.000"/>
        <d v="2023-07-02T18:08:00.000"/>
        <d v="2023-08-14T09:26:39.000"/>
        <d v="2022-02-03T16:15:13.000"/>
        <d v="2022-02-04T06:16:31.000"/>
        <d v="2022-02-03T15:11:22.000"/>
        <d v="2022-09-17T05:21:14.000"/>
        <d v="2019-10-05T20:16:05.000"/>
        <d v="2019-10-05T20:25:27.000"/>
        <d v="2019-10-05T20:41:47.000"/>
        <d v="2019-10-05T20:53:04.000"/>
        <d v="2019-10-05T20:57:59.000"/>
        <d v="2019-10-05T21:20:15.000"/>
        <d v="2019-10-05T21:36:43.000"/>
        <d v="2019-10-05T21:48:35.000"/>
        <d v="2019-10-05T22:10:11.000"/>
        <d v="2019-10-05T22:22:15.000"/>
        <d v="2019-10-05T22:45:10.000"/>
        <d v="2019-10-05T22:47:54.000"/>
        <d v="2019-10-05T22:52:53.000"/>
        <d v="2019-10-05T23:01:08.000"/>
        <d v="2019-10-05T23:02:35.000"/>
        <d v="2019-10-05T23:10:10.000"/>
        <d v="2019-10-05T23:14:02.000"/>
        <d v="2019-10-05T23:34:29.000"/>
        <d v="2019-10-05T23:45:41.000"/>
        <d v="2019-10-05T23:46:43.000"/>
        <d v="2019-10-05T23:52:18.000"/>
        <d v="2019-10-05T23:55:58.000"/>
        <d v="2019-10-06T00:06:43.000"/>
        <d v="2019-10-06T00:16:22.000"/>
        <d v="2019-10-06T00:21:16.000"/>
        <d v="2019-10-06T00:34:15.000"/>
        <d v="2019-10-06T00:36:05.000"/>
        <d v="2019-10-06T00:48:53.000"/>
        <d v="2019-10-06T01:30:13.000"/>
        <d v="2019-10-06T01:39:41.000"/>
        <d v="2019-10-06T01:51:41.000"/>
        <d v="2019-10-06T02:39:08.000"/>
        <d v="2019-10-06T02:48:31.000"/>
        <d v="2019-10-06T02:50:12.000"/>
        <d v="2019-10-06T03:06:18.000"/>
        <d v="2019-10-06T03:11:19.000"/>
        <d v="2019-10-06T03:14:46.000"/>
        <d v="2019-10-06T03:46:46.000"/>
        <d v="2019-10-06T03:55:56.000"/>
        <d v="2019-10-06T03:57:55.000"/>
        <d v="2019-10-06T04:05:22.000"/>
        <d v="2019-10-06T04:11:39.000"/>
        <d v="2019-10-06T04:22:26.000"/>
        <d v="2019-10-06T04:45:27.000"/>
        <d v="2019-10-06T05:16:27.000"/>
        <d v="2019-10-06T05:19:10.000"/>
        <d v="2019-10-06T05:24:50.000"/>
        <d v="2019-10-06T06:21:14.000"/>
        <d v="2019-10-06T06:38:53.000"/>
        <d v="2019-10-06T07:03:16.000"/>
        <d v="2019-10-06T07:24:48.000"/>
        <d v="2019-10-06T07:25:38.000"/>
        <d v="2019-10-06T07:38:08.000"/>
        <d v="2019-10-06T09:45:14.000"/>
        <d v="2019-10-06T10:03:19.000"/>
        <d v="2019-10-06T11:32:35.000"/>
        <d v="2019-10-06T12:25:38.000"/>
        <d v="2019-10-06T13:16:05.000"/>
        <d v="2019-10-06T14:02:57.000"/>
        <d v="2019-10-06T14:49:13.000"/>
        <d v="2019-10-06T15:08:52.000"/>
        <d v="2019-10-06T15:40:23.000"/>
        <d v="2019-10-06T17:29:19.000"/>
        <d v="2019-10-06T17:32:25.000"/>
        <d v="2019-10-06T18:40:55.000"/>
        <d v="2019-10-06T21:37:39.000"/>
        <d v="2019-10-07T00:23:53.000"/>
        <d v="2019-10-07T00:46:52.000"/>
        <d v="2019-10-07T01:35:04.000"/>
        <d v="2019-10-07T02:10:25.000"/>
        <d v="2019-10-07T02:18:50.000"/>
        <d v="2019-10-07T04:35:14.000"/>
        <d v="2019-10-07T05:20:08.000"/>
        <d v="2019-10-07T07:05:53.000"/>
        <d v="2019-10-07T12:27:49.000"/>
        <d v="2019-10-07T13:27:28.000"/>
        <d v="2019-10-07T15:15:04.000"/>
        <d v="2019-10-08T03:01:12.000"/>
        <d v="2019-10-08T04:54:42.000"/>
        <d v="2019-10-08T17:47:18.000"/>
        <d v="2019-10-09T02:45:39.000"/>
        <d v="2019-10-09T10:34:59.000"/>
        <d v="2019-10-10T02:40:31.000"/>
        <d v="2019-10-11T23:41:27.000"/>
        <d v="2019-10-12T15:48:54.000"/>
        <d v="2019-10-15T20:35:11.000"/>
        <d v="2019-10-21T06:47:34.000"/>
        <d v="2019-10-27T18:09:14.000"/>
        <d v="2022-05-08T03:31:22.000"/>
        <d v="2022-06-18T00:57:53.000"/>
        <d v="2019-10-06T04:08:09.000"/>
        <d v="2022-07-11T04:37:40.000"/>
        <d v="2018-07-19T22:49:13.000"/>
        <d v="2015-12-09T23:19:12.000"/>
        <d v="2021-07-10T19:22:38.000"/>
        <d v="2015-11-12T17:18:50.000"/>
        <d v="2022-12-06T18:52:00.000"/>
        <d v="2019-12-23T17:00:11.000"/>
        <d v="2021-06-14T22:28:55.000"/>
        <d v="2021-11-12T01:55:36.000"/>
        <d v="2023-05-27T01:31:27.000"/>
        <d v="2016-11-10T02:13:51.000"/>
        <d v="2019-10-08T16:06:29.000"/>
        <d v="2011-12-06T21:36:57.000"/>
        <d v="2014-03-18T18:13:50.000"/>
        <d v="2013-10-15T13:46:48.000"/>
        <d v="2018-01-16T07:41:13.000"/>
        <d v="2017-05-31T04:58:32.000"/>
        <d v="2023-01-13T19:39:42.000"/>
        <d v="2023-09-14T15:23:47.000"/>
        <d v="2023-02-28T21:57:19.000"/>
        <d v="2021-01-20T13:27:23.000"/>
        <d v="2023-08-12T08:18:41.000"/>
        <d v="2017-09-20T20:17:35.000"/>
        <d v="2023-01-11T20:47:53.000"/>
        <d v="2022-09-10T03:57:51.000"/>
        <d v="2022-11-08T02:11:06.000"/>
        <d v="2021-07-17T02:41:11.000"/>
        <d v="2021-12-19T12:03:58.000"/>
        <d v="2021-02-03T21:55:54.000"/>
        <d v="2023-08-05T23:40:36.000"/>
      </sharedItems>
      <fieldGroup par="43" base="25">
        <rangePr groupBy="days" autoEnd="1" autoStart="1" startDate="2011-12-06T21:36:57.000" endDate="2023-09-14T15:23:47.000"/>
        <groupItems count="368">
          <s v="&lt;12/6/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11-12-06T21:36:57.000" endDate="2023-09-14T15:23:47.000"/>
        <groupItems count="14">
          <s v="&lt;12/6/2011"/>
          <s v="Jan"/>
          <s v="Feb"/>
          <s v="Mar"/>
          <s v="Apr"/>
          <s v="May"/>
          <s v="Jun"/>
          <s v="Jul"/>
          <s v="Aug"/>
          <s v="Sep"/>
          <s v="Oct"/>
          <s v="Nov"/>
          <s v="Dec"/>
          <s v="&gt;9/14/2023"/>
        </groupItems>
      </fieldGroup>
    </cacheField>
    <cacheField name="Years" databaseField="0">
      <sharedItems containsMixedTypes="0" count="0"/>
      <fieldGroup base="25">
        <rangePr groupBy="years" autoEnd="1" autoStart="1" startDate="2011-12-06T21:36:57.000" endDate="2023-09-14T15:23:47.000"/>
        <groupItems count="15">
          <s v="&lt;12/6/2011"/>
          <s v="2011"/>
          <s v="2012"/>
          <s v="2013"/>
          <s v="2014"/>
          <s v="2015"/>
          <s v="2016"/>
          <s v="2017"/>
          <s v="2018"/>
          <s v="2019"/>
          <s v="2020"/>
          <s v="2021"/>
          <s v="2022"/>
          <s v="2023"/>
          <s v="&gt;9/14/2023"/>
        </groupItems>
      </fieldGroup>
    </cacheField>
  </cacheFields>
  <extLst>
    <ext xmlns:x14="http://schemas.microsoft.com/office/spreadsheetml/2009/9/main" uri="{725AE2AE-9491-48be-B2B4-4EB974FC3084}">
      <x14:pivotCacheDefinition pivotCacheId="2131579322"/>
    </ext>
  </extLst>
</pivotCacheDefinition>
</file>

<file path=xl/pivotCache/pivotCacheRecords1.xml><?xml version="1.0" encoding="utf-8"?>
<pivotCacheRecords xmlns="http://schemas.openxmlformats.org/spreadsheetml/2006/main" xmlns:r="http://schemas.openxmlformats.org/officeDocument/2006/relationships" count="181">
  <r>
    <s v="UCrUXf4iY0j_IQGpFPsTQa1Q"/>
    <s v="UC8yH-uI81UUtEMDsowQyx1g"/>
    <s v="128, 128, 128"/>
    <n v="3"/>
    <m/>
    <n v="40"/>
    <m/>
    <m/>
    <m/>
    <m/>
    <s v="No"/>
    <n v="3"/>
    <m/>
    <m/>
    <s v="Commented Video"/>
    <x v="0"/>
    <s v="And yet too date,  Department of Health, has not admitted foreign qualified doctors?!"/>
    <s v="UCrUXf4iY0j_IQGpFPsTQa1Q"/>
    <s v="Human"/>
    <s v="http://www.youtube.com/channel/UCrUXf4iY0j_IQGpFPsTQa1Q"/>
    <m/>
    <s v="HeygX8UYhCA"/>
    <s v="https://www.youtube.com/watch?v=HeygX8UYhCA"/>
    <s v="none"/>
    <n v="2"/>
    <x v="0"/>
    <d v="2023-09-09T04:25:16.000"/>
    <m/>
    <m/>
    <m/>
    <n v="1"/>
    <s v="3"/>
    <s v="3"/>
    <n v="1"/>
    <n v="7.6923076923076925"/>
    <n v="0"/>
    <n v="0"/>
    <n v="0"/>
    <n v="0"/>
    <n v="5"/>
    <n v="38.46153846153846"/>
    <n v="13"/>
  </r>
  <r>
    <s v="UCgM23NLmNQQP4rdr0z9OV6w"/>
    <s v="UC8yH-uI81UUtEMDsowQyx1g"/>
    <s v="128, 128, 128"/>
    <n v="3"/>
    <m/>
    <n v="40"/>
    <m/>
    <m/>
    <m/>
    <m/>
    <s v="No"/>
    <n v="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1"/>
    <d v="2023-09-09T04:39:18.000"/>
    <m/>
    <m/>
    <m/>
    <n v="1"/>
    <n v="3"/>
    <n v="3"/>
    <n v="1"/>
    <n v="1.3157894736842106"/>
    <n v="0"/>
    <n v="0"/>
    <n v="0"/>
    <n v="0"/>
    <n v="23"/>
    <n v="30.263157894736842"/>
    <n v="76"/>
  </r>
  <r>
    <s v="UCqXLQYDIEN1NdwqGDImJ5jA"/>
    <s v="UC8yH-uI81UUtEMDsowQyx1g"/>
    <s v="128, 128, 128"/>
    <n v="3"/>
    <m/>
    <n v="40"/>
    <m/>
    <m/>
    <m/>
    <m/>
    <s v="No"/>
    <n v="5"/>
    <m/>
    <m/>
    <s v="Commented Video"/>
    <x v="0"/>
    <s v="Keep voting ANC and EFF... the doctors will run away"/>
    <s v="UCqXLQYDIEN1NdwqGDImJ5jA"/>
    <s v="Andrew Mc Farlane"/>
    <s v="http://www.youtube.com/channel/UCqXLQYDIEN1NdwqGDImJ5jA"/>
    <m/>
    <s v="HeygX8UYhCA"/>
    <s v="https://www.youtube.com/watch?v=HeygX8UYhCA"/>
    <s v="none"/>
    <n v="8"/>
    <x v="2"/>
    <d v="2023-09-09T05:41:57.000"/>
    <m/>
    <m/>
    <m/>
    <n v="1"/>
    <n v="3"/>
    <n v="3"/>
    <n v="0"/>
    <n v="0"/>
    <n v="0"/>
    <n v="0"/>
    <n v="0"/>
    <n v="0"/>
    <n v="5"/>
    <n v="50"/>
    <n v="10"/>
  </r>
  <r>
    <s v="UCwbTK9LMWW5Hu683te9YcRQ"/>
    <s v="UC8yH-uI81UUtEMDsowQyx1g"/>
    <s v="128, 128, 128"/>
    <n v="3"/>
    <m/>
    <n v="40"/>
    <m/>
    <m/>
    <m/>
    <m/>
    <s v="No"/>
    <n v="6"/>
    <m/>
    <m/>
    <s v="Commented Video"/>
    <x v="0"/>
    <s v="Dont worry Fake doctors  are on  the way"/>
    <s v="UCwbTK9LMWW5Hu683te9YcRQ"/>
    <s v="gigi"/>
    <s v="http://www.youtube.com/channel/UCwbTK9LMWW5Hu683te9YcRQ"/>
    <m/>
    <s v="HeygX8UYhCA"/>
    <s v="https://www.youtube.com/watch?v=HeygX8UYhCA"/>
    <s v="none"/>
    <n v="0"/>
    <x v="3"/>
    <d v="2023-09-09T06:03:43.000"/>
    <m/>
    <m/>
    <m/>
    <n v="1"/>
    <n v="3"/>
    <n v="3"/>
    <n v="0"/>
    <n v="0"/>
    <n v="2"/>
    <n v="25"/>
    <n v="0"/>
    <n v="0"/>
    <n v="1"/>
    <n v="12.5"/>
    <n v="8"/>
  </r>
  <r>
    <s v="UCE8wRMsUR3Q2lj3izQ-yN6A"/>
    <s v="UC8yH-uI81UUtEMDsowQyx1g"/>
    <s v="128, 128, 128"/>
    <n v="3"/>
    <m/>
    <n v="40"/>
    <m/>
    <m/>
    <m/>
    <m/>
    <s v="No"/>
    <n v="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
    <d v="2023-09-09T06:25:10.000"/>
    <m/>
    <m/>
    <m/>
    <n v="1"/>
    <n v="3"/>
    <n v="3"/>
    <n v="4"/>
    <n v="7.407407407407407"/>
    <n v="0"/>
    <n v="0"/>
    <n v="0"/>
    <n v="0"/>
    <n v="20"/>
    <n v="37.03703703703704"/>
    <n v="54"/>
  </r>
  <r>
    <s v="UCAl9DhRv3T6VbQFhMy4ZfjA"/>
    <s v="UC8yH-uI81UUtEMDsowQyx1g"/>
    <s v="128, 128, 128"/>
    <n v="3"/>
    <m/>
    <n v="40"/>
    <m/>
    <m/>
    <m/>
    <m/>
    <s v="No"/>
    <n v="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5"/>
    <d v="2023-09-09T11:17:36.000"/>
    <m/>
    <m/>
    <m/>
    <n v="1"/>
    <n v="3"/>
    <n v="3"/>
    <n v="0"/>
    <n v="0"/>
    <n v="1"/>
    <n v="3.7037037037037037"/>
    <n v="0"/>
    <n v="0"/>
    <n v="8"/>
    <n v="29.62962962962963"/>
    <n v="27"/>
  </r>
  <r>
    <s v="UCqaNnkbltkl2EZ2q-f90l_w"/>
    <s v="UC8yH-uI81UUtEMDsowQyx1g"/>
    <s v="128, 128, 128"/>
    <n v="3"/>
    <m/>
    <n v="40"/>
    <m/>
    <m/>
    <m/>
    <m/>
    <s v="No"/>
    <n v="9"/>
    <m/>
    <m/>
    <s v="Commented Video"/>
    <x v="0"/>
    <s v="Why did the gvt refuses  employ foreign doctors"/>
    <s v="UCqaNnkbltkl2EZ2q-f90l_w"/>
    <s v="Lupious Chiwanza"/>
    <s v="http://www.youtube.com/channel/UCqaNnkbltkl2EZ2q-f90l_w"/>
    <m/>
    <s v="HeygX8UYhCA"/>
    <s v="https://www.youtube.com/watch?v=HeygX8UYhCA"/>
    <s v="none"/>
    <n v="3"/>
    <x v="6"/>
    <d v="2023-09-09T11:24:27.000"/>
    <m/>
    <m/>
    <m/>
    <n v="1"/>
    <n v="3"/>
    <n v="3"/>
    <n v="0"/>
    <n v="0"/>
    <n v="1"/>
    <n v="12.5"/>
    <n v="0"/>
    <n v="0"/>
    <n v="4"/>
    <n v="50"/>
    <n v="8"/>
  </r>
  <r>
    <s v="UCe4kPsTw5pTJC4Y1NmnxQRg"/>
    <s v="UC8yH-uI81UUtEMDsowQyx1g"/>
    <s v="128, 128, 128"/>
    <n v="3"/>
    <m/>
    <n v="40"/>
    <m/>
    <m/>
    <m/>
    <m/>
    <s v="No"/>
    <n v="1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7"/>
    <d v="2023-09-09T14:01:09.000"/>
    <m/>
    <m/>
    <m/>
    <n v="1"/>
    <n v="3"/>
    <n v="3"/>
    <n v="0"/>
    <n v="0"/>
    <n v="1"/>
    <n v="3.0303030303030303"/>
    <n v="0"/>
    <n v="0"/>
    <n v="11"/>
    <n v="33.333333333333336"/>
    <n v="33"/>
  </r>
  <r>
    <s v="UC0LCq_OqhMElPUSFvxbp_WQ"/>
    <s v="UC8yH-uI81UUtEMDsowQyx1g"/>
    <s v="128, 128, 128"/>
    <n v="3"/>
    <m/>
    <n v="40"/>
    <m/>
    <m/>
    <m/>
    <m/>
    <s v="No"/>
    <n v="11"/>
    <m/>
    <m/>
    <s v="Commented Video"/>
    <x v="0"/>
    <s v="The anc is like the devil They came to Destroy To Steal and to Kill!!!"/>
    <s v="UC0LCq_OqhMElPUSFvxbp_WQ"/>
    <s v="Clara Damons"/>
    <s v="http://www.youtube.com/channel/UC0LCq_OqhMElPUSFvxbp_WQ"/>
    <m/>
    <s v="HeygX8UYhCA"/>
    <s v="https://www.youtube.com/watch?v=HeygX8UYhCA"/>
    <s v="none"/>
    <n v="0"/>
    <x v="8"/>
    <d v="2023-09-09T16:15:13.000"/>
    <m/>
    <m/>
    <m/>
    <n v="1"/>
    <n v="3"/>
    <n v="3"/>
    <n v="1"/>
    <n v="6.666666666666667"/>
    <n v="4"/>
    <n v="26.666666666666668"/>
    <n v="0"/>
    <n v="0"/>
    <n v="1"/>
    <n v="6.666666666666667"/>
    <n v="15"/>
  </r>
  <r>
    <s v="UCgFqD3On_ANmpXNY5EOG2HA"/>
    <s v="UC8yH-uI81UUtEMDsowQyx1g"/>
    <s v="128, 128, 128"/>
    <n v="3"/>
    <m/>
    <n v="40"/>
    <m/>
    <m/>
    <m/>
    <m/>
    <s v="No"/>
    <n v="12"/>
    <m/>
    <m/>
    <s v="Commented Video"/>
    <x v="0"/>
    <s v="I wonder why!!!"/>
    <s v="UCgFqD3On_ANmpXNY5EOG2HA"/>
    <s v="Shirl West"/>
    <s v="http://www.youtube.com/channel/UCgFqD3On_ANmpXNY5EOG2HA"/>
    <m/>
    <s v="HeygX8UYhCA"/>
    <s v="https://www.youtube.com/watch?v=HeygX8UYhCA"/>
    <s v="none"/>
    <n v="1"/>
    <x v="9"/>
    <d v="2023-09-09T19:03:35.000"/>
    <m/>
    <m/>
    <m/>
    <n v="1"/>
    <n v="3"/>
    <n v="3"/>
    <n v="0"/>
    <n v="0"/>
    <n v="0"/>
    <n v="0"/>
    <n v="0"/>
    <n v="0"/>
    <n v="0"/>
    <n v="0"/>
    <n v="3"/>
  </r>
  <r>
    <s v="UCOpDvOhCc0NB81DNvZeVQNg"/>
    <s v="UC8yH-uI81UUtEMDsowQyx1g"/>
    <s v="128, 128, 128"/>
    <n v="3"/>
    <m/>
    <n v="40"/>
    <m/>
    <m/>
    <m/>
    <m/>
    <s v="No"/>
    <n v="13"/>
    <m/>
    <m/>
    <s v="Commented Video"/>
    <x v="0"/>
    <s v="Yes it&amp;#39;s going to get worse."/>
    <s v="UCOpDvOhCc0NB81DNvZeVQNg"/>
    <s v="Suminthra Ramsuran"/>
    <s v="http://www.youtube.com/channel/UCOpDvOhCc0NB81DNvZeVQNg"/>
    <m/>
    <s v="HeygX8UYhCA"/>
    <s v="https://www.youtube.com/watch?v=HeygX8UYhCA"/>
    <s v="none"/>
    <n v="3"/>
    <x v="10"/>
    <d v="2023-09-09T19:03:47.000"/>
    <m/>
    <m/>
    <m/>
    <n v="1"/>
    <n v="3"/>
    <n v="3"/>
    <n v="0"/>
    <n v="0"/>
    <n v="1"/>
    <n v="12.5"/>
    <n v="0"/>
    <n v="0"/>
    <n v="0"/>
    <n v="0"/>
    <n v="8"/>
  </r>
  <r>
    <s v="UCwrvFEDIvasD8EesYt-_VlA"/>
    <s v="UC8yH-uI81UUtEMDsowQyx1g"/>
    <s v="128, 128, 128"/>
    <n v="3"/>
    <m/>
    <n v="40"/>
    <m/>
    <m/>
    <m/>
    <m/>
    <s v="No"/>
    <n v="14"/>
    <m/>
    <m/>
    <s v="Commented Video"/>
    <x v="0"/>
    <s v="then they say foreigners are taking their jobs"/>
    <s v="UCwrvFEDIvasD8EesYt-_VlA"/>
    <s v="baba Malachi"/>
    <s v="http://www.youtube.com/channel/UCwrvFEDIvasD8EesYt-_VlA"/>
    <m/>
    <s v="HeygX8UYhCA"/>
    <s v="https://www.youtube.com/watch?v=HeygX8UYhCA"/>
    <s v="none"/>
    <n v="0"/>
    <x v="11"/>
    <d v="2023-09-09T19:54:05.000"/>
    <m/>
    <m/>
    <m/>
    <n v="1"/>
    <n v="3"/>
    <n v="3"/>
    <n v="0"/>
    <n v="0"/>
    <n v="0"/>
    <n v="0"/>
    <n v="0"/>
    <n v="0"/>
    <n v="2"/>
    <n v="25"/>
    <n v="8"/>
  </r>
  <r>
    <s v="UC4JGtkkIk0ZUCg_EDa_A5og"/>
    <s v="UC8yH-uI81UUtEMDsowQyx1g"/>
    <s v="128, 128, 128"/>
    <n v="3"/>
    <m/>
    <n v="40"/>
    <m/>
    <m/>
    <m/>
    <m/>
    <s v="No"/>
    <n v="1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12"/>
    <d v="2023-09-10T20:45:29.000"/>
    <m/>
    <m/>
    <m/>
    <n v="1"/>
    <n v="3"/>
    <n v="3"/>
    <n v="0"/>
    <n v="0"/>
    <n v="1"/>
    <n v="7.142857142857143"/>
    <n v="0"/>
    <n v="0"/>
    <n v="7"/>
    <n v="50"/>
    <n v="14"/>
  </r>
  <r>
    <s v="UCQuMHlEhwyQy55RLe_ZX2ww"/>
    <s v="UC8yH-uI81UUtEMDsowQyx1g"/>
    <s v="128, 128, 128"/>
    <n v="3"/>
    <m/>
    <n v="40"/>
    <m/>
    <m/>
    <m/>
    <m/>
    <s v="No"/>
    <n v="16"/>
    <m/>
    <m/>
    <s v="Commented Video"/>
    <x v="0"/>
    <s v="...majority of S.African Drs work abroad &lt;br&gt;Thank you to the BEE"/>
    <s v="UCQuMHlEhwyQy55RLe_ZX2ww"/>
    <s v="BNG MNH"/>
    <s v="http://www.youtube.com/channel/UCQuMHlEhwyQy55RLe_ZX2ww"/>
    <m/>
    <s v="HeygX8UYhCA"/>
    <s v="https://www.youtube.com/watch?v=HeygX8UYhCA"/>
    <s v="none"/>
    <n v="1"/>
    <x v="13"/>
    <d v="2023-09-11T01:09:36.000"/>
    <m/>
    <m/>
    <m/>
    <n v="1"/>
    <n v="3"/>
    <n v="3"/>
    <n v="1"/>
    <n v="7.6923076923076925"/>
    <n v="0"/>
    <n v="0"/>
    <n v="0"/>
    <n v="0"/>
    <n v="4"/>
    <n v="30.76923076923077"/>
    <n v="13"/>
  </r>
  <r>
    <s v="UCJXrvYl_yi07f2WQ4bBi61A"/>
    <s v="UC8yH-uI81UUtEMDsowQyx1g"/>
    <s v="154, 102, 102"/>
    <n v="3"/>
    <m/>
    <n v="40"/>
    <m/>
    <m/>
    <m/>
    <m/>
    <s v="No"/>
    <n v="1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14"/>
    <d v="2023-09-11T22:21:24.000"/>
    <m/>
    <m/>
    <m/>
    <n v="4"/>
    <n v="3"/>
    <n v="3"/>
    <n v="0"/>
    <n v="0"/>
    <n v="1"/>
    <n v="4.761904761904762"/>
    <n v="0"/>
    <n v="0"/>
    <n v="8"/>
    <n v="38.095238095238095"/>
    <n v="21"/>
  </r>
  <r>
    <s v="UC4xnqWp5r7wANtgDOImNqFg"/>
    <s v="UC8yH-uI81UUtEMDsowQyx1g"/>
    <s v="128, 128, 128"/>
    <n v="3"/>
    <m/>
    <n v="40"/>
    <m/>
    <m/>
    <m/>
    <m/>
    <s v="No"/>
    <n v="1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15"/>
    <d v="2023-09-12T12:26:13.000"/>
    <m/>
    <m/>
    <m/>
    <n v="1"/>
    <n v="3"/>
    <n v="3"/>
    <n v="0"/>
    <n v="0"/>
    <n v="6"/>
    <n v="26.08695652173913"/>
    <n v="0"/>
    <n v="0"/>
    <n v="13"/>
    <n v="56.52173913043478"/>
    <n v="23"/>
  </r>
  <r>
    <s v="UC84iafmAbgYg2oa_-3QUUKQ"/>
    <s v="UCUTeE-as508hixQrNVHO7vQ"/>
    <s v="128, 128, 128"/>
    <n v="3"/>
    <m/>
    <n v="40"/>
    <m/>
    <m/>
    <m/>
    <m/>
    <s v="No"/>
    <n v="19"/>
    <m/>
    <m/>
    <s v="Commented Video"/>
    <x v="0"/>
    <s v="We just laugh 😂😂😂😂😂😂"/>
    <s v="UC84iafmAbgYg2oa_-3QUUKQ"/>
    <s v="Gapoti"/>
    <s v="http://www.youtube.com/channel/UC84iafmAbgYg2oa_-3QUUKQ"/>
    <m/>
    <s v="gjQ2b6eCf5M"/>
    <s v="https://www.youtube.com/watch?v=gjQ2b6eCf5M"/>
    <s v="none"/>
    <n v="0"/>
    <x v="16"/>
    <d v="2021-12-29T00:20:47.000"/>
    <m/>
    <m/>
    <m/>
    <n v="1"/>
    <n v="5"/>
    <n v="5"/>
    <n v="0"/>
    <n v="0"/>
    <n v="0"/>
    <n v="0"/>
    <n v="0"/>
    <n v="0"/>
    <n v="1"/>
    <n v="33.333333333333336"/>
    <n v="3"/>
  </r>
  <r>
    <s v="UCSyJCoAav3PDjONN0T4xdjw"/>
    <s v="UCUTeE-as508hixQrNVHO7vQ"/>
    <s v="128, 128, 128"/>
    <n v="3"/>
    <m/>
    <n v="40"/>
    <m/>
    <m/>
    <m/>
    <m/>
    <s v="No"/>
    <n v="20"/>
    <m/>
    <m/>
    <s v="Commented Video"/>
    <x v="0"/>
    <s v="This is fair assessment 👏 &lt;br&gt;This with non-political lenses. &lt;br&gt;Good check on the government and its positive 👌 👍 👏"/>
    <s v="UCSyJCoAav3PDjONN0T4xdjw"/>
    <s v="george amoh"/>
    <s v="http://www.youtube.com/channel/UCSyJCoAav3PDjONN0T4xdjw"/>
    <m/>
    <s v="gjQ2b6eCf5M"/>
    <s v="https://www.youtube.com/watch?v=gjQ2b6eCf5M"/>
    <s v="none"/>
    <n v="0"/>
    <x v="17"/>
    <d v="2021-12-29T01:44:55.000"/>
    <m/>
    <m/>
    <m/>
    <n v="1"/>
    <n v="5"/>
    <n v="5"/>
    <n v="3"/>
    <n v="15.789473684210526"/>
    <n v="0"/>
    <n v="0"/>
    <n v="0"/>
    <n v="0"/>
    <n v="5"/>
    <n v="26.31578947368421"/>
    <n v="19"/>
  </r>
  <r>
    <s v="UCvkAeUr1JJ61Grs40E-fSGQ"/>
    <s v="UCUTeE-as508hixQrNVHO7vQ"/>
    <s v="128, 128, 128"/>
    <n v="3"/>
    <m/>
    <n v="40"/>
    <m/>
    <m/>
    <m/>
    <m/>
    <s v="No"/>
    <n v="21"/>
    <m/>
    <m/>
    <s v="Commented Video"/>
    <x v="0"/>
    <s v="Reading the comments, it’s like you Ndc folks wish Ghana will even go to HIPC so Ndc can win power 2024."/>
    <s v="UCvkAeUr1JJ61Grs40E-fSGQ"/>
    <s v="Prince One"/>
    <s v="http://www.youtube.com/channel/UCvkAeUr1JJ61Grs40E-fSGQ"/>
    <m/>
    <s v="gjQ2b6eCf5M"/>
    <s v="https://www.youtube.com/watch?v=gjQ2b6eCf5M"/>
    <s v="none"/>
    <n v="1"/>
    <x v="18"/>
    <d v="2021-12-29T10:04:48.000"/>
    <m/>
    <m/>
    <m/>
    <n v="1"/>
    <n v="5"/>
    <n v="5"/>
    <n v="2"/>
    <n v="9.090909090909092"/>
    <n v="0"/>
    <n v="0"/>
    <n v="0"/>
    <n v="0"/>
    <n v="10"/>
    <n v="45.45454545454545"/>
    <n v="22"/>
  </r>
  <r>
    <s v="UCUn24Z_vYKrPjaiPZdutWMQ"/>
    <s v="UCUTeE-as508hixQrNVHO7vQ"/>
    <s v="128, 128, 128"/>
    <n v="3"/>
    <m/>
    <n v="40"/>
    <m/>
    <m/>
    <m/>
    <m/>
    <s v="No"/>
    <n v="22"/>
    <m/>
    <m/>
    <s v="Commented Video"/>
    <x v="0"/>
    <s v="Why government will not complete the infrastructures that are rooting before starting the new one&amp;#39;s"/>
    <s v="UCUn24Z_vYKrPjaiPZdutWMQ"/>
    <s v="st Vhh"/>
    <s v="http://www.youtube.com/channel/UCUn24Z_vYKrPjaiPZdutWMQ"/>
    <m/>
    <s v="gjQ2b6eCf5M"/>
    <s v="https://www.youtube.com/watch?v=gjQ2b6eCf5M"/>
    <s v="none"/>
    <n v="1"/>
    <x v="19"/>
    <d v="2021-12-29T16:39:11.000"/>
    <m/>
    <m/>
    <m/>
    <n v="1"/>
    <n v="5"/>
    <n v="5"/>
    <n v="0"/>
    <n v="0"/>
    <n v="0"/>
    <n v="0"/>
    <n v="0"/>
    <n v="0"/>
    <n v="5"/>
    <n v="29.41176470588235"/>
    <n v="17"/>
  </r>
  <r>
    <s v="UCUTeE-as508hixQrNVHO7vQ"/>
    <s v="UCUTeE-as508hixQrNVHO7vQ"/>
    <s v="128, 128, 128"/>
    <n v="3"/>
    <m/>
    <n v="40"/>
    <m/>
    <m/>
    <m/>
    <m/>
    <s v="No"/>
    <n v="23"/>
    <m/>
    <m/>
    <s v="Posted Video"/>
    <x v="1"/>
    <m/>
    <m/>
    <m/>
    <m/>
    <m/>
    <s v="gjQ2b6eCf5M"/>
    <s v="https://www.youtube.com/watch?v=gjQ2b6eCf5M"/>
    <m/>
    <m/>
    <x v="20"/>
    <m/>
    <m/>
    <m/>
    <m/>
    <n v="1"/>
    <n v="5"/>
    <n v="5"/>
    <m/>
    <m/>
    <m/>
    <m/>
    <m/>
    <m/>
    <m/>
    <m/>
    <m/>
  </r>
  <r>
    <s v="UCc0q1ipPdTrzCWWsDPKTE_g"/>
    <s v="UCUTeE-as508hixQrNVHO7vQ"/>
    <s v="128, 128, 128"/>
    <n v="3"/>
    <m/>
    <n v="40"/>
    <m/>
    <m/>
    <m/>
    <m/>
    <s v="No"/>
    <n v="24"/>
    <m/>
    <m/>
    <s v="Commented Video"/>
    <x v="0"/>
    <s v="Ashawo president  Akuffo Addo, where is the agenda 111, you&amp;#39;re a fool and you think about your party not your country, kwasia next time"/>
    <s v="UCc0q1ipPdTrzCWWsDPKTE_g"/>
    <s v="Kwame Appiah"/>
    <s v="http://www.youtube.com/channel/UCc0q1ipPdTrzCWWsDPKTE_g"/>
    <m/>
    <s v="gjQ2b6eCf5M"/>
    <s v="https://www.youtube.com/watch?v=gjQ2b6eCf5M"/>
    <s v="none"/>
    <n v="0"/>
    <x v="21"/>
    <d v="2021-12-31T09:08:08.000"/>
    <m/>
    <m/>
    <m/>
    <n v="1"/>
    <n v="5"/>
    <n v="5"/>
    <n v="0"/>
    <n v="0"/>
    <n v="1"/>
    <n v="3.8461538461538463"/>
    <n v="0"/>
    <n v="0"/>
    <n v="11"/>
    <n v="42.30769230769231"/>
    <n v="26"/>
  </r>
  <r>
    <s v="UCvyGWhEbMxtdznAGgit0VZw"/>
    <s v="UCUyaTH0R5YOHrJENYNUw-Ug"/>
    <s v="128, 128, 128"/>
    <n v="3"/>
    <m/>
    <n v="40"/>
    <m/>
    <m/>
    <m/>
    <m/>
    <s v="No"/>
    <n v="25"/>
    <m/>
    <m/>
    <s v="Commented Video"/>
    <x v="0"/>
    <s v="Greetings...I&amp;#39;m  one of the protesters that came to LTV alausa ikeja on Friday.... Pls......the peaceful protesters of X-pression workers are counting on you (LTV) pls we are expecting to have been on the news"/>
    <s v="UCvyGWhEbMxtdznAGgit0VZw"/>
    <s v="Ty Classic"/>
    <s v="http://www.youtube.com/channel/UCvyGWhEbMxtdznAGgit0VZw"/>
    <m/>
    <s v="hsq4RXdv0n8"/>
    <s v="https://www.youtube.com/watch?v=hsq4RXdv0n8"/>
    <s v="none"/>
    <n v="0"/>
    <x v="22"/>
    <d v="2021-06-14T21:11:07.000"/>
    <m/>
    <m/>
    <m/>
    <n v="1"/>
    <n v="13"/>
    <n v="13"/>
    <n v="1"/>
    <n v="2.5641025641025643"/>
    <n v="0"/>
    <n v="0"/>
    <n v="0"/>
    <n v="0"/>
    <n v="15"/>
    <n v="38.46153846153846"/>
    <n v="39"/>
  </r>
  <r>
    <s v="UCUyaTH0R5YOHrJENYNUw-Ug"/>
    <s v="UCUyaTH0R5YOHrJENYNUw-Ug"/>
    <s v="128, 128, 128"/>
    <n v="3"/>
    <m/>
    <n v="40"/>
    <m/>
    <m/>
    <m/>
    <m/>
    <s v="No"/>
    <n v="26"/>
    <m/>
    <m/>
    <s v="Posted Video"/>
    <x v="1"/>
    <m/>
    <m/>
    <m/>
    <m/>
    <m/>
    <s v="hsq4RXdv0n8"/>
    <s v="https://www.youtube.com/watch?v=hsq4RXdv0n8"/>
    <m/>
    <m/>
    <x v="23"/>
    <m/>
    <m/>
    <m/>
    <m/>
    <n v="1"/>
    <n v="13"/>
    <n v="13"/>
    <m/>
    <m/>
    <m/>
    <m/>
    <m/>
    <m/>
    <m/>
    <m/>
    <m/>
  </r>
  <r>
    <s v="UCqeU1fMh_NhAx3teVQ7YYtw"/>
    <s v="UCMeYPU1YfXjxsUa6QXWsfjg"/>
    <s v="128, 128, 128"/>
    <n v="3"/>
    <m/>
    <n v="40"/>
    <m/>
    <m/>
    <m/>
    <m/>
    <s v="No"/>
    <n v="27"/>
    <m/>
    <m/>
    <s v="Commented Video"/>
    <x v="0"/>
    <s v="Excellent!&lt;br&gt;&lt;br&gt;Google: Judi Grace StoryCorps."/>
    <s v="UCqeU1fMh_NhAx3teVQ7YYtw"/>
    <s v="acajudi100"/>
    <s v="http://www.youtube.com/channel/UCqeU1fMh_NhAx3teVQ7YYtw"/>
    <m/>
    <s v="Q2CKkFDMc6U"/>
    <s v="https://www.youtube.com/watch?v=Q2CKkFDMc6U"/>
    <s v="none"/>
    <n v="1"/>
    <x v="24"/>
    <d v="2016-03-06T00:04:05.000"/>
    <m/>
    <m/>
    <m/>
    <n v="1"/>
    <n v="4"/>
    <n v="4"/>
    <n v="2"/>
    <n v="28.571428571428573"/>
    <n v="0"/>
    <n v="0"/>
    <n v="0"/>
    <n v="0"/>
    <n v="3"/>
    <n v="42.857142857142854"/>
    <n v="7"/>
  </r>
  <r>
    <s v="UCgLnwiK5ydVeIBlxwUkuLGw"/>
    <s v="UCMeYPU1YfXjxsUa6QXWsfjg"/>
    <s v="128, 128, 128"/>
    <n v="3"/>
    <m/>
    <n v="40"/>
    <m/>
    <m/>
    <m/>
    <m/>
    <s v="No"/>
    <n v="28"/>
    <m/>
    <m/>
    <s v="Commented Video"/>
    <x v="0"/>
    <s v="Well done Ethiopia and the EPRDF government who is allowing this to take place! I&amp;#39;m loving all the progress!"/>
    <s v="UCgLnwiK5ydVeIBlxwUkuLGw"/>
    <s v="Aksum አክሱም ፣ ንግሥት"/>
    <s v="http://www.youtube.com/channel/UCgLnwiK5ydVeIBlxwUkuLGw"/>
    <m/>
    <s v="Q2CKkFDMc6U"/>
    <s v="https://www.youtube.com/watch?v=Q2CKkFDMc6U"/>
    <s v="none"/>
    <n v="2"/>
    <x v="25"/>
    <d v="2016-09-10T06:09:49.000"/>
    <m/>
    <m/>
    <m/>
    <n v="1"/>
    <n v="4"/>
    <n v="4"/>
    <n v="3"/>
    <n v="14.285714285714286"/>
    <n v="0"/>
    <n v="0"/>
    <n v="0"/>
    <n v="0"/>
    <n v="5"/>
    <n v="23.80952380952381"/>
    <n v="21"/>
  </r>
  <r>
    <s v="UCdSt0UlIdni98FI6e8i1HMA"/>
    <s v="UCMeYPU1YfXjxsUa6QXWsfjg"/>
    <s v="128, 128, 128"/>
    <n v="3"/>
    <m/>
    <n v="40"/>
    <m/>
    <m/>
    <m/>
    <m/>
    <s v="No"/>
    <n v="29"/>
    <m/>
    <m/>
    <s v="Commented Video"/>
    <x v="0"/>
    <s v="Of course Actual Africans wont be in charge of there own DNA."/>
    <s v="UCdSt0UlIdni98FI6e8i1HMA"/>
    <s v="Zo Harborage"/>
    <s v="http://www.youtube.com/channel/UCdSt0UlIdni98FI6e8i1HMA"/>
    <m/>
    <s v="OEBMTb3WWS4"/>
    <s v="https://www.youtube.com/watch?v=OEBMTb3WWS4"/>
    <s v="none"/>
    <n v="0"/>
    <x v="26"/>
    <d v="2018-02-24T22:45:09.000"/>
    <m/>
    <m/>
    <m/>
    <n v="1"/>
    <n v="4"/>
    <n v="4"/>
    <n v="0"/>
    <n v="0"/>
    <n v="0"/>
    <n v="0"/>
    <n v="0"/>
    <n v="0"/>
    <n v="5"/>
    <n v="41.666666666666664"/>
    <n v="12"/>
  </r>
  <r>
    <s v="UCxNBIrM4Img_jfSSZ6RygGg"/>
    <s v="UCMeYPU1YfXjxsUa6QXWsfjg"/>
    <s v="128, 128, 128"/>
    <n v="3"/>
    <m/>
    <n v="40"/>
    <m/>
    <m/>
    <m/>
    <m/>
    <s v="No"/>
    <n v="30"/>
    <m/>
    <m/>
    <s v="Commented Video"/>
    <x v="0"/>
    <s v="They&amp;#39;re talking about a Genomic centre while showing videos of surgical equipment, Do they think we&amp;#39;re stupid???"/>
    <s v="UCxNBIrM4Img_jfSSZ6RygGg"/>
    <s v="The Duke"/>
    <s v="http://www.youtube.com/channel/UCxNBIrM4Img_jfSSZ6RygGg"/>
    <m/>
    <s v="OEBMTb3WWS4"/>
    <s v="https://www.youtube.com/watch?v=OEBMTb3WWS4"/>
    <s v="none"/>
    <n v="2"/>
    <x v="27"/>
    <d v="2018-02-24T23:02:28.000"/>
    <m/>
    <m/>
    <m/>
    <n v="1"/>
    <n v="4"/>
    <n v="4"/>
    <n v="0"/>
    <n v="0"/>
    <n v="1"/>
    <n v="4.761904761904762"/>
    <n v="0"/>
    <n v="0"/>
    <n v="6"/>
    <n v="28.571428571428573"/>
    <n v="21"/>
  </r>
  <r>
    <s v="UCEVX4zX1f7L3kiW7NYJ3USw"/>
    <s v="UCMeYPU1YfXjxsUa6QXWsfjg"/>
    <s v="128, 128, 128"/>
    <n v="3"/>
    <m/>
    <n v="40"/>
    <m/>
    <m/>
    <m/>
    <m/>
    <s v="No"/>
    <n v="31"/>
    <m/>
    <m/>
    <s v="Commented Video"/>
    <x v="0"/>
    <s v="yeah right, it&amp;#39;s all roses and moonshine in genomics. come on... do some REAL investigation."/>
    <s v="UCEVX4zX1f7L3kiW7NYJ3USw"/>
    <s v="reptilespantoso"/>
    <s v="http://www.youtube.com/channel/UCEVX4zX1f7L3kiW7NYJ3USw"/>
    <m/>
    <s v="OEBMTb3WWS4"/>
    <s v="https://www.youtube.com/watch?v=OEBMTb3WWS4"/>
    <s v="none"/>
    <n v="0"/>
    <x v="28"/>
    <d v="2018-02-25T00:42:27.000"/>
    <m/>
    <m/>
    <m/>
    <n v="1"/>
    <n v="4"/>
    <n v="4"/>
    <n v="1"/>
    <n v="5.882352941176471"/>
    <n v="0"/>
    <n v="0"/>
    <n v="0"/>
    <n v="0"/>
    <n v="6"/>
    <n v="35.294117647058826"/>
    <n v="17"/>
  </r>
  <r>
    <s v="UCMeYPU1YfXjxsUa6QXWsfjg"/>
    <s v="UCMeYPU1YfXjxsUa6QXWsfjg"/>
    <s v="154, 102, 102"/>
    <n v="3"/>
    <m/>
    <n v="40"/>
    <m/>
    <m/>
    <m/>
    <m/>
    <s v="No"/>
    <n v="32"/>
    <m/>
    <m/>
    <s v="Posted Video"/>
    <x v="1"/>
    <m/>
    <m/>
    <m/>
    <m/>
    <m/>
    <s v="Q2CKkFDMc6U"/>
    <s v="https://www.youtube.com/watch?v=Q2CKkFDMc6U"/>
    <m/>
    <m/>
    <x v="29"/>
    <m/>
    <m/>
    <m/>
    <m/>
    <n v="4"/>
    <n v="4"/>
    <n v="4"/>
    <m/>
    <m/>
    <m/>
    <m/>
    <m/>
    <m/>
    <m/>
    <m/>
    <m/>
  </r>
  <r>
    <s v="UCqdBowHTw_EPhxKTH8CFM8A"/>
    <s v="UCMeYPU1YfXjxsUa6QXWsfjg"/>
    <s v="128, 128, 128"/>
    <n v="3"/>
    <m/>
    <n v="40"/>
    <m/>
    <m/>
    <m/>
    <m/>
    <s v="No"/>
    <n v="33"/>
    <m/>
    <m/>
    <s v="Commented Video"/>
    <x v="0"/>
    <s v="White people are very creepy"/>
    <s v="UCqdBowHTw_EPhxKTH8CFM8A"/>
    <s v="Frêßhy Vïbê"/>
    <s v="http://www.youtube.com/channel/UCqdBowHTw_EPhxKTH8CFM8A"/>
    <m/>
    <s v="OEBMTb3WWS4"/>
    <s v="https://www.youtube.com/watch?v=OEBMTb3WWS4"/>
    <s v="none"/>
    <n v="0"/>
    <x v="30"/>
    <d v="2022-09-30T21:45:47.000"/>
    <m/>
    <m/>
    <m/>
    <n v="1"/>
    <n v="4"/>
    <n v="4"/>
    <n v="0"/>
    <n v="0"/>
    <n v="1"/>
    <n v="20"/>
    <n v="0"/>
    <n v="0"/>
    <n v="2"/>
    <n v="40"/>
    <n v="5"/>
  </r>
  <r>
    <s v="UCAgmleS9wdeTBPjnZQWjFCw"/>
    <s v="UC1_E8NeF5QHY2dtdLRBCCLA"/>
    <s v="128, 128, 128"/>
    <n v="3"/>
    <m/>
    <n v="40"/>
    <m/>
    <m/>
    <m/>
    <m/>
    <s v="No"/>
    <n v="34"/>
    <m/>
    <m/>
    <s v="Commented Video"/>
    <x v="0"/>
    <s v="I love this journalists voice 😍"/>
    <s v="UCAgmleS9wdeTBPjnZQWjFCw"/>
    <s v="Salt of The Earth"/>
    <s v="http://www.youtube.com/channel/UCAgmleS9wdeTBPjnZQWjFCw"/>
    <m/>
    <s v="E9_6bHyqfeU"/>
    <s v="https://www.youtube.com/watch?v=E9_6bHyqfeU"/>
    <s v="none"/>
    <n v="0"/>
    <x v="31"/>
    <d v="2021-02-03T17:00:11.000"/>
    <m/>
    <m/>
    <m/>
    <n v="1"/>
    <n v="9"/>
    <n v="9"/>
    <n v="1"/>
    <n v="20"/>
    <n v="0"/>
    <n v="0"/>
    <n v="0"/>
    <n v="0"/>
    <n v="2"/>
    <n v="40"/>
    <n v="5"/>
  </r>
  <r>
    <s v="UC1_E8NeF5QHY2dtdLRBCCLA"/>
    <s v="UC1_E8NeF5QHY2dtdLRBCCLA"/>
    <s v="128, 128, 128"/>
    <n v="3"/>
    <m/>
    <n v="40"/>
    <m/>
    <m/>
    <m/>
    <m/>
    <s v="No"/>
    <n v="35"/>
    <m/>
    <m/>
    <s v="Posted Video"/>
    <x v="1"/>
    <m/>
    <m/>
    <m/>
    <m/>
    <m/>
    <s v="E9_6bHyqfeU"/>
    <s v="https://www.youtube.com/watch?v=E9_6bHyqfeU"/>
    <m/>
    <m/>
    <x v="32"/>
    <m/>
    <m/>
    <m/>
    <m/>
    <n v="1"/>
    <n v="9"/>
    <n v="9"/>
    <m/>
    <m/>
    <m/>
    <m/>
    <m/>
    <m/>
    <m/>
    <m/>
    <m/>
  </r>
  <r>
    <s v="UC92bY3vyxakfwsWiDazd9_w"/>
    <s v="UC1_E8NeF5QHY2dtdLRBCCLA"/>
    <s v="128, 128, 128"/>
    <n v="3"/>
    <m/>
    <n v="40"/>
    <m/>
    <m/>
    <m/>
    <m/>
    <s v="No"/>
    <n v="36"/>
    <m/>
    <m/>
    <s v="Commented Video"/>
    <x v="0"/>
    <s v="nice info sir 👍"/>
    <s v="UC92bY3vyxakfwsWiDazd9_w"/>
    <s v="Mandiri Plafond"/>
    <s v="http://www.youtube.com/channel/UC92bY3vyxakfwsWiDazd9_w"/>
    <m/>
    <s v="E9_6bHyqfeU"/>
    <s v="https://www.youtube.com/watch?v=E9_6bHyqfeU"/>
    <s v="none"/>
    <n v="0"/>
    <x v="33"/>
    <d v="2021-02-03T19:40:15.000"/>
    <m/>
    <m/>
    <m/>
    <n v="1"/>
    <n v="9"/>
    <n v="9"/>
    <n v="1"/>
    <n v="33.333333333333336"/>
    <n v="0"/>
    <n v="0"/>
    <n v="0"/>
    <n v="0"/>
    <n v="2"/>
    <n v="66.66666666666667"/>
    <n v="3"/>
  </r>
  <r>
    <s v="UCO0BUaDD-ICY6lt-yZSEW-A"/>
    <s v="UCYWwT1w9Yv2qpKChz9Hoomg"/>
    <s v="128, 128, 128"/>
    <n v="3"/>
    <m/>
    <n v="40"/>
    <m/>
    <m/>
    <m/>
    <m/>
    <s v="No"/>
    <n v="37"/>
    <m/>
    <m/>
    <s v="Commented Video"/>
    <x v="0"/>
    <s v="it is an honor for African beekeeping"/>
    <s v="UCO0BUaDD-ICY6lt-yZSEW-A"/>
    <s v="Mohamed Ferchichi"/>
    <s v="http://www.youtube.com/channel/UCO0BUaDD-ICY6lt-yZSEW-A"/>
    <m/>
    <s v="9kMpguF84Ok"/>
    <s v="https://www.youtube.com/watch?v=9kMpguF84Ok"/>
    <s v="none"/>
    <n v="0"/>
    <x v="34"/>
    <d v="2022-05-26T03:47:51.000"/>
    <m/>
    <m/>
    <m/>
    <n v="1"/>
    <n v="12"/>
    <n v="12"/>
    <n v="1"/>
    <n v="14.285714285714286"/>
    <n v="0"/>
    <n v="0"/>
    <n v="0"/>
    <n v="0"/>
    <n v="2"/>
    <n v="28.571428571428573"/>
    <n v="7"/>
  </r>
  <r>
    <s v="UCYWwT1w9Yv2qpKChz9Hoomg"/>
    <s v="UCYWwT1w9Yv2qpKChz9Hoomg"/>
    <s v="128, 128, 128"/>
    <n v="3"/>
    <m/>
    <n v="40"/>
    <m/>
    <m/>
    <m/>
    <m/>
    <s v="No"/>
    <n v="38"/>
    <m/>
    <m/>
    <s v="Posted Video"/>
    <x v="1"/>
    <m/>
    <m/>
    <m/>
    <m/>
    <m/>
    <s v="9kMpguF84Ok"/>
    <s v="https://www.youtube.com/watch?v=9kMpguF84Ok"/>
    <m/>
    <m/>
    <x v="35"/>
    <m/>
    <m/>
    <m/>
    <m/>
    <n v="1"/>
    <n v="12"/>
    <n v="12"/>
    <m/>
    <m/>
    <m/>
    <m/>
    <m/>
    <m/>
    <m/>
    <m/>
    <m/>
  </r>
  <r>
    <s v="UCcUHc0sopUl3Zoi1otJP3lQ"/>
    <s v="UCsL03z5sLvA0t8sjwDWf_3A"/>
    <s v="128, 128, 128"/>
    <n v="3"/>
    <m/>
    <n v="40"/>
    <m/>
    <m/>
    <m/>
    <m/>
    <s v="No"/>
    <n v="39"/>
    <m/>
    <m/>
    <s v="Commented Video"/>
    <x v="0"/>
    <s v="God bless you my mum"/>
    <s v="UCcUHc0sopUl3Zoi1otJP3lQ"/>
    <s v="Isaac Yeboah"/>
    <s v="http://www.youtube.com/channel/UCcUHc0sopUl3Zoi1otJP3lQ"/>
    <m/>
    <s v="pjNUGUOCCB8"/>
    <s v="https://www.youtube.com/watch?v=pjNUGUOCCB8"/>
    <s v="none"/>
    <n v="0"/>
    <x v="36"/>
    <d v="2018-01-21T17:18:06.000"/>
    <m/>
    <m/>
    <m/>
    <n v="1"/>
    <n v="11"/>
    <n v="11"/>
    <n v="1"/>
    <n v="20"/>
    <n v="0"/>
    <n v="0"/>
    <n v="0"/>
    <n v="0"/>
    <n v="2"/>
    <n v="40"/>
    <n v="5"/>
  </r>
  <r>
    <s v="UCsL03z5sLvA0t8sjwDWf_3A"/>
    <s v="UCsL03z5sLvA0t8sjwDWf_3A"/>
    <s v="128, 128, 128"/>
    <n v="3"/>
    <m/>
    <n v="40"/>
    <m/>
    <m/>
    <m/>
    <m/>
    <s v="No"/>
    <n v="40"/>
    <m/>
    <m/>
    <s v="Posted Video"/>
    <x v="1"/>
    <m/>
    <m/>
    <m/>
    <m/>
    <m/>
    <s v="pjNUGUOCCB8"/>
    <s v="https://www.youtube.com/watch?v=pjNUGUOCCB8"/>
    <m/>
    <m/>
    <x v="37"/>
    <m/>
    <m/>
    <m/>
    <m/>
    <n v="1"/>
    <n v="11"/>
    <n v="11"/>
    <m/>
    <m/>
    <m/>
    <m/>
    <m/>
    <m/>
    <m/>
    <m/>
    <m/>
  </r>
  <r>
    <s v="UCHaQIcmzy6_Hr4W8MuLtZoQ"/>
    <s v="UC8yH-uI81UUtEMDsowQyx1g"/>
    <s v="128, 128, 128"/>
    <n v="3"/>
    <m/>
    <n v="40"/>
    <m/>
    <m/>
    <m/>
    <m/>
    <s v="No"/>
    <n v="41"/>
    <m/>
    <m/>
    <s v="Commented Video"/>
    <x v="0"/>
    <s v="This is a disgrace how the anc  f up every thing"/>
    <s v="UCHaQIcmzy6_Hr4W8MuLtZoQ"/>
    <s v="wollie"/>
    <s v="http://www.youtube.com/channel/UCHaQIcmzy6_Hr4W8MuLtZoQ"/>
    <m/>
    <s v="nKS8X8XsQPo"/>
    <s v="https://www.youtube.com/watch?v=nKS8X8XsQPo"/>
    <s v="none"/>
    <n v="3"/>
    <x v="38"/>
    <d v="2022-09-23T22:33:10.000"/>
    <m/>
    <m/>
    <m/>
    <n v="1"/>
    <n v="3"/>
    <n v="3"/>
    <n v="0"/>
    <n v="0"/>
    <n v="1"/>
    <n v="9.090909090909092"/>
    <n v="0"/>
    <n v="0"/>
    <n v="2"/>
    <n v="18.181818181818183"/>
    <n v="11"/>
  </r>
  <r>
    <s v="UC-4-LSPMEGXHZqGJNaXLnEw"/>
    <s v="UC8yH-uI81UUtEMDsowQyx1g"/>
    <s v="128, 128, 128"/>
    <n v="3"/>
    <m/>
    <n v="40"/>
    <m/>
    <m/>
    <m/>
    <m/>
    <s v="No"/>
    <n v="42"/>
    <m/>
    <m/>
    <s v="Commented Video"/>
    <x v="0"/>
    <s v="Please vote for change South Africa!😢"/>
    <s v="UC-4-LSPMEGXHZqGJNaXLnEw"/>
    <s v="Momosa Jibrezy"/>
    <s v="http://www.youtube.com/channel/UC-4-LSPMEGXHZqGJNaXLnEw"/>
    <m/>
    <s v="nKS8X8XsQPo"/>
    <s v="https://www.youtube.com/watch?v=nKS8X8XsQPo"/>
    <s v="none"/>
    <n v="0"/>
    <x v="39"/>
    <d v="2022-09-23T23:59:39.000"/>
    <m/>
    <m/>
    <m/>
    <n v="1"/>
    <n v="3"/>
    <n v="3"/>
    <n v="0"/>
    <n v="0"/>
    <n v="0"/>
    <n v="0"/>
    <n v="0"/>
    <n v="0"/>
    <n v="4"/>
    <n v="66.66666666666667"/>
    <n v="6"/>
  </r>
  <r>
    <s v="UCxvaRkdxJnvwqokP28A39Dw"/>
    <s v="UC8yH-uI81UUtEMDsowQyx1g"/>
    <s v="128, 128, 128"/>
    <n v="3"/>
    <m/>
    <n v="40"/>
    <m/>
    <m/>
    <m/>
    <m/>
    <s v="No"/>
    <n v="43"/>
    <m/>
    <m/>
    <s v="Commented Video"/>
    <x v="0"/>
    <s v="The current loadshedding matter is very detrimental to health sector hence government needs to adopt strategic plan to address this disastrous situation."/>
    <s v="UCxvaRkdxJnvwqokP28A39Dw"/>
    <s v="Zithulele Sidwell Ntshudu"/>
    <s v="http://www.youtube.com/channel/UCxvaRkdxJnvwqokP28A39Dw"/>
    <m/>
    <s v="nKS8X8XsQPo"/>
    <s v="https://www.youtube.com/watch?v=nKS8X8XsQPo"/>
    <s v="none"/>
    <n v="0"/>
    <x v="40"/>
    <d v="2022-09-24T02:03:43.000"/>
    <m/>
    <m/>
    <m/>
    <n v="1"/>
    <n v="3"/>
    <n v="3"/>
    <n v="0"/>
    <n v="0"/>
    <n v="2"/>
    <n v="9.090909090909092"/>
    <n v="0"/>
    <n v="0"/>
    <n v="11"/>
    <n v="50"/>
    <n v="22"/>
  </r>
  <r>
    <s v="UC-bnCEG6CUesjPqM1UXPHJQ"/>
    <s v="UC8yH-uI81UUtEMDsowQyx1g"/>
    <s v="128, 128, 128"/>
    <n v="3"/>
    <m/>
    <n v="40"/>
    <m/>
    <m/>
    <m/>
    <m/>
    <s v="No"/>
    <n v="44"/>
    <m/>
    <m/>
    <s v="Commented Video"/>
    <x v="0"/>
    <s v="So i wonder how the Cadres feel that stole millions and billions. Money that could be available for these hospitals. Please dont bring equality in to this. The ANC stole everything leaving South Africa vulnerable. They have blood on their hands."/>
    <s v="UC-bnCEG6CUesjPqM1UXPHJQ"/>
    <s v="👑of Glory👑"/>
    <s v="http://www.youtube.com/channel/UC-bnCEG6CUesjPqM1UXPHJQ"/>
    <m/>
    <s v="nKS8X8XsQPo"/>
    <s v="https://www.youtube.com/watch?v=nKS8X8XsQPo"/>
    <s v="none"/>
    <n v="0"/>
    <x v="41"/>
    <d v="2022-09-24T18:13:08.000"/>
    <m/>
    <m/>
    <m/>
    <n v="1"/>
    <n v="3"/>
    <n v="3"/>
    <n v="1"/>
    <n v="2.4390243902439024"/>
    <n v="3"/>
    <n v="7.317073170731708"/>
    <n v="0"/>
    <n v="0"/>
    <n v="14"/>
    <n v="34.146341463414636"/>
    <n v="41"/>
  </r>
  <r>
    <s v="UCUkS5FumCzDHdGu3JVnej8Q"/>
    <s v="UC8yH-uI81UUtEMDsowQyx1g"/>
    <s v="128, 128, 128"/>
    <n v="3"/>
    <m/>
    <n v="40"/>
    <m/>
    <m/>
    <m/>
    <m/>
    <s v="No"/>
    <n v="45"/>
    <m/>
    <m/>
    <s v="Commented Video"/>
    <x v="0"/>
    <s v="How you gonna treat those Zimbabweans crossing the birders now. Oh Dear."/>
    <s v="UCUkS5FumCzDHdGu3JVnej8Q"/>
    <s v="shanaaz cloete"/>
    <s v="http://www.youtube.com/channel/UCUkS5FumCzDHdGu3JVnej8Q"/>
    <m/>
    <s v="nKS8X8XsQPo"/>
    <s v="https://www.youtube.com/watch?v=nKS8X8XsQPo"/>
    <s v="none"/>
    <n v="1"/>
    <x v="42"/>
    <d v="2022-09-25T19:36:33.000"/>
    <m/>
    <m/>
    <m/>
    <n v="1"/>
    <n v="3"/>
    <n v="3"/>
    <n v="0"/>
    <n v="0"/>
    <n v="0"/>
    <n v="0"/>
    <n v="0"/>
    <n v="0"/>
    <n v="5"/>
    <n v="41.666666666666664"/>
    <n v="12"/>
  </r>
  <r>
    <s v="UC8yH-uI81UUtEMDsowQyx1g"/>
    <s v="UC8yH-uI81UUtEMDsowQyx1g"/>
    <s v="Red"/>
    <n v="3"/>
    <m/>
    <n v="40"/>
    <m/>
    <m/>
    <m/>
    <m/>
    <s v="No"/>
    <n v="46"/>
    <m/>
    <m/>
    <s v="Posted Video"/>
    <x v="1"/>
    <m/>
    <m/>
    <m/>
    <m/>
    <m/>
    <s v="HeygX8UYhCA"/>
    <s v="https://www.youtube.com/watch?v=HeygX8UYhCA"/>
    <m/>
    <m/>
    <x v="43"/>
    <m/>
    <m/>
    <m/>
    <m/>
    <n v="16"/>
    <n v="3"/>
    <n v="3"/>
    <m/>
    <m/>
    <m/>
    <m/>
    <m/>
    <m/>
    <m/>
    <m/>
    <m/>
  </r>
  <r>
    <s v="UC7z436f18FU7J14H1xj2L4g"/>
    <s v="UC8yH-uI81UUtEMDsowQyx1g"/>
    <s v="128, 128, 128"/>
    <n v="3"/>
    <m/>
    <n v="40"/>
    <m/>
    <m/>
    <m/>
    <m/>
    <s v="No"/>
    <n v="47"/>
    <m/>
    <m/>
    <s v="Commented Video"/>
    <x v="0"/>
    <s v="Shocking disregard by the government of the most vulnerable poor of South Africa"/>
    <s v="UC7z436f18FU7J14H1xj2L4g"/>
    <s v="Ronwyn Von Staden"/>
    <s v="http://www.youtube.com/channel/UC7z436f18FU7J14H1xj2L4g"/>
    <m/>
    <s v="nKS8X8XsQPo"/>
    <s v="https://www.youtube.com/watch?v=nKS8X8XsQPo"/>
    <s v="none"/>
    <n v="0"/>
    <x v="44"/>
    <d v="2022-09-26T17:35:23.000"/>
    <m/>
    <m/>
    <m/>
    <n v="1"/>
    <n v="3"/>
    <n v="3"/>
    <n v="0"/>
    <n v="0"/>
    <n v="4"/>
    <n v="30.76923076923077"/>
    <n v="0"/>
    <n v="0"/>
    <n v="3"/>
    <n v="23.076923076923077"/>
    <n v="13"/>
  </r>
  <r>
    <s v="UCBxcAy_pS-jN5Q7vvVissXg"/>
    <s v="UC4ljqPLcbaPXA8KI73vPLhg"/>
    <s v="128, 128, 128"/>
    <n v="3"/>
    <m/>
    <n v="40"/>
    <m/>
    <m/>
    <m/>
    <m/>
    <s v="No"/>
    <n v="48"/>
    <m/>
    <m/>
    <s v="Commented Video"/>
    <x v="0"/>
    <s v="where i can a data tahnks for this tutorial"/>
    <s v="UCBxcAy_pS-jN5Q7vvVissXg"/>
    <s v="Abdoulaye Leye"/>
    <s v="http://www.youtube.com/channel/UCBxcAy_pS-jN5Q7vvVissXg"/>
    <m/>
    <s v="3R20g2rhFYw"/>
    <s v="https://www.youtube.com/watch?v=3R20g2rhFYw"/>
    <s v="none"/>
    <n v="0"/>
    <x v="45"/>
    <d v="2019-07-31T21:06:42.000"/>
    <m/>
    <m/>
    <m/>
    <n v="1"/>
    <n v="6"/>
    <n v="6"/>
    <n v="0"/>
    <n v="0"/>
    <n v="0"/>
    <n v="0"/>
    <n v="0"/>
    <n v="0"/>
    <n v="3"/>
    <n v="33.333333333333336"/>
    <n v="9"/>
  </r>
  <r>
    <s v="UCixMKBGxWZb9QzO3C-8ZUcg"/>
    <s v="UC4ljqPLcbaPXA8KI73vPLhg"/>
    <s v="128, 128, 128"/>
    <n v="3"/>
    <m/>
    <n v="40"/>
    <m/>
    <m/>
    <m/>
    <m/>
    <s v="No"/>
    <n v="49"/>
    <m/>
    <m/>
    <s v="Commented Video"/>
    <x v="0"/>
    <s v="please do clip about satellite soil moisture (AMSR2) validation streamflow using SWAT model."/>
    <s v="UCixMKBGxWZb9QzO3C-8ZUcg"/>
    <s v="Man U"/>
    <s v="http://www.youtube.com/channel/UCixMKBGxWZb9QzO3C-8ZUcg"/>
    <m/>
    <s v="3R20g2rhFYw"/>
    <s v="https://www.youtube.com/watch?v=3R20g2rhFYw"/>
    <s v="none"/>
    <n v="0"/>
    <x v="46"/>
    <d v="2019-08-09T10:32:36.000"/>
    <m/>
    <m/>
    <m/>
    <n v="1"/>
    <n v="6"/>
    <n v="6"/>
    <n v="0"/>
    <n v="0"/>
    <n v="0"/>
    <n v="0"/>
    <n v="0"/>
    <n v="0"/>
    <n v="9"/>
    <n v="69.23076923076923"/>
    <n v="13"/>
  </r>
  <r>
    <s v="UCvnYe5ZbewHESm-Z-_sTDTQ"/>
    <s v="UC4ljqPLcbaPXA8KI73vPLhg"/>
    <s v="128, 128, 128"/>
    <n v="3"/>
    <m/>
    <n v="40"/>
    <m/>
    <m/>
    <m/>
    <m/>
    <s v="No"/>
    <n v="50"/>
    <m/>
    <m/>
    <s v="Commented Video"/>
    <x v="0"/>
    <s v="I came across your site for the first time and i saw some of your videos. Great job Fitse...keep it up bro"/>
    <s v="UCvnYe5ZbewHESm-Z-_sTDTQ"/>
    <s v="Yohannes Tefera"/>
    <s v="http://www.youtube.com/channel/UCvnYe5ZbewHESm-Z-_sTDTQ"/>
    <m/>
    <s v="3R20g2rhFYw"/>
    <s v="https://www.youtube.com/watch?v=3R20g2rhFYw"/>
    <s v="none"/>
    <n v="1"/>
    <x v="47"/>
    <d v="2019-08-15T15:17:59.000"/>
    <m/>
    <m/>
    <m/>
    <n v="1"/>
    <n v="6"/>
    <n v="6"/>
    <n v="1"/>
    <n v="4.3478260869565215"/>
    <n v="0"/>
    <n v="0"/>
    <n v="0"/>
    <n v="0"/>
    <n v="6"/>
    <n v="26.08695652173913"/>
    <n v="23"/>
  </r>
  <r>
    <s v="UC4ljqPLcbaPXA8KI73vPLhg"/>
    <s v="UC4ljqPLcbaPXA8KI73vPLhg"/>
    <s v="154, 102, 102"/>
    <n v="3"/>
    <m/>
    <n v="40"/>
    <m/>
    <m/>
    <m/>
    <m/>
    <s v="No"/>
    <n v="51"/>
    <m/>
    <m/>
    <s v="Commented Video"/>
    <x v="0"/>
    <s v="Check the file here: &lt;a href=&quot;https://drive.google.com/file/d/1ssca1FWJE6FRmSYvgyCHGs_W5ocOvRI7/view?usp=drive_web&quot;&gt;https://drive.google.com/file/d/1ssca1FWJE6FRmSYvgyCHGs_W5ocOvRI7/view?usp=drive_web&lt;/a&gt;&lt;br&gt;Before asking for request please don&amp;#39;t forget to subscribe."/>
    <s v="UC4ljqPLcbaPXA8KI73vPLhg"/>
    <s v="Tech-tutor with Fitsum"/>
    <s v="http://www.youtube.com/channel/UC4ljqPLcbaPXA8KI73vPLhg"/>
    <m/>
    <s v="3R20g2rhFYw"/>
    <s v="https://www.youtube.com/watch?v=3R20g2rhFYw"/>
    <s v="none"/>
    <n v="0"/>
    <x v="48"/>
    <d v="2019-07-31T21:16:18.000"/>
    <s v="https://drive.google.com/file/d/1ssca1FWJE6FRmSYvgyCHGs_W5ocOvRI7/view?usp=drive_web https://drive.google.com/file/d/1ssca1FWJE6FRmSYvgyCHGs_W5ocOvRI7/view?usp=drive_web"/>
    <s v="google.com google.com"/>
    <m/>
    <n v="4"/>
    <n v="6"/>
    <n v="6"/>
    <n v="0"/>
    <n v="0"/>
    <n v="0"/>
    <n v="0"/>
    <n v="0"/>
    <n v="0"/>
    <n v="19"/>
    <n v="48.717948717948715"/>
    <n v="39"/>
  </r>
  <r>
    <s v="UCm0u5u7zlWVOFzy-YHjK24w"/>
    <s v="UC4ljqPLcbaPXA8KI73vPLhg"/>
    <s v="128, 128, 128"/>
    <n v="3"/>
    <m/>
    <n v="40"/>
    <m/>
    <m/>
    <m/>
    <m/>
    <s v="No"/>
    <n v="52"/>
    <m/>
    <m/>
    <s v="Commented Video"/>
    <x v="0"/>
    <s v="Great work,  Can you add the shape file of this tutorials. Eg. Country of Ethiopia"/>
    <s v="UCm0u5u7zlWVOFzy-YHjK24w"/>
    <s v="NIZAMUDDIN THONICHAL"/>
    <s v="http://www.youtube.com/channel/UCm0u5u7zlWVOFzy-YHjK24w"/>
    <m/>
    <s v="3R20g2rhFYw"/>
    <s v="https://www.youtube.com/watch?v=3R20g2rhFYw"/>
    <s v="none"/>
    <n v="0"/>
    <x v="49"/>
    <d v="2021-03-21T18:44:00.000"/>
    <m/>
    <m/>
    <m/>
    <n v="1"/>
    <n v="6"/>
    <n v="6"/>
    <n v="2"/>
    <n v="13.333333333333334"/>
    <n v="0"/>
    <n v="0"/>
    <n v="0"/>
    <n v="0"/>
    <n v="6"/>
    <n v="40"/>
    <n v="15"/>
  </r>
  <r>
    <s v="UCT6EoNl-Na6TYfdKtNTCY5A"/>
    <s v="UCQfwfsi5VrQ8yKZ-UWmAEFg"/>
    <s v="128, 128, 128"/>
    <n v="3"/>
    <m/>
    <n v="40"/>
    <m/>
    <m/>
    <m/>
    <m/>
    <s v="No"/>
    <n v="53"/>
    <m/>
    <m/>
    <s v="Commented Video"/>
    <x v="0"/>
    <s v="It’s about time instead of essential equipment coming from India or other countries that’s used."/>
    <s v="UCT6EoNl-Na6TYfdKtNTCY5A"/>
    <s v="Alana Weaver"/>
    <s v="http://www.youtube.com/channel/UCT6EoNl-Na6TYfdKtNTCY5A"/>
    <m/>
    <s v="td26-eY3Dak"/>
    <s v="https://www.youtube.com/watch?v=td26-eY3Dak"/>
    <s v="none"/>
    <n v="0"/>
    <x v="50"/>
    <d v="2021-04-16T05:01:32.000"/>
    <m/>
    <m/>
    <m/>
    <n v="1"/>
    <n v="10"/>
    <n v="10"/>
    <n v="0"/>
    <n v="0"/>
    <n v="0"/>
    <n v="0"/>
    <n v="0"/>
    <n v="0"/>
    <n v="6"/>
    <n v="35.294117647058826"/>
    <n v="17"/>
  </r>
  <r>
    <s v="UCQfwfsi5VrQ8yKZ-UWmAEFg"/>
    <s v="UCQfwfsi5VrQ8yKZ-UWmAEFg"/>
    <s v="128, 128, 128"/>
    <n v="3"/>
    <m/>
    <n v="40"/>
    <m/>
    <m/>
    <m/>
    <m/>
    <s v="No"/>
    <n v="54"/>
    <m/>
    <m/>
    <s v="Posted Video"/>
    <x v="1"/>
    <m/>
    <m/>
    <m/>
    <m/>
    <m/>
    <s v="td26-eY3Dak"/>
    <s v="https://www.youtube.com/watch?v=td26-eY3Dak"/>
    <m/>
    <m/>
    <x v="51"/>
    <m/>
    <m/>
    <m/>
    <m/>
    <n v="1"/>
    <n v="10"/>
    <n v="10"/>
    <m/>
    <m/>
    <m/>
    <m/>
    <m/>
    <m/>
    <m/>
    <m/>
    <m/>
  </r>
  <r>
    <s v="UC526t1OIrjqS7bvHnEFJIBw"/>
    <s v="UC3vaRg3KrzNK7qkqDxIPchw"/>
    <s v="128, 128, 128"/>
    <n v="3"/>
    <m/>
    <n v="40"/>
    <m/>
    <m/>
    <m/>
    <m/>
    <s v="No"/>
    <n v="55"/>
    <m/>
    <m/>
    <s v="Commented Video"/>
    <x v="0"/>
    <s v="It&amp;#39;s very clean there nice 🎉"/>
    <s v="UC526t1OIrjqS7bvHnEFJIBw"/>
    <s v="Stars&amp;stripes"/>
    <s v="http://www.youtube.com/channel/UC526t1OIrjqS7bvHnEFJIBw"/>
    <m/>
    <s v="SmHak99S7D0"/>
    <s v="https://www.youtube.com/watch?v=SmHak99S7D0"/>
    <s v="none"/>
    <n v="1"/>
    <x v="52"/>
    <d v="2023-07-02T18:46:59.000"/>
    <m/>
    <m/>
    <m/>
    <n v="1"/>
    <n v="8"/>
    <n v="8"/>
    <n v="2"/>
    <n v="28.571428571428573"/>
    <n v="0"/>
    <n v="0"/>
    <n v="0"/>
    <n v="0"/>
    <n v="0"/>
    <n v="0"/>
    <n v="7"/>
  </r>
  <r>
    <s v="UC3vaRg3KrzNK7qkqDxIPchw"/>
    <s v="UC3vaRg3KrzNK7qkqDxIPchw"/>
    <s v="128, 128, 128"/>
    <n v="3"/>
    <m/>
    <n v="40"/>
    <m/>
    <m/>
    <m/>
    <m/>
    <s v="No"/>
    <n v="56"/>
    <m/>
    <m/>
    <s v="Posted Video"/>
    <x v="1"/>
    <m/>
    <m/>
    <m/>
    <m/>
    <m/>
    <s v="SmHak99S7D0"/>
    <s v="https://www.youtube.com/watch?v=SmHak99S7D0"/>
    <m/>
    <m/>
    <x v="53"/>
    <m/>
    <m/>
    <m/>
    <m/>
    <n v="1"/>
    <n v="8"/>
    <n v="8"/>
    <m/>
    <m/>
    <m/>
    <m/>
    <m/>
    <m/>
    <m/>
    <m/>
    <m/>
  </r>
  <r>
    <s v="UCEO_1xjI50wCbR4qgqVJ62A"/>
    <s v="UC3vaRg3KrzNK7qkqDxIPchw"/>
    <s v="128, 128, 128"/>
    <n v="3"/>
    <m/>
    <n v="40"/>
    <m/>
    <m/>
    <m/>
    <m/>
    <s v="No"/>
    <n v="57"/>
    <m/>
    <m/>
    <s v="Commented Video"/>
    <x v="0"/>
    <s v="It&amp;#39;s ok you told us though ❤"/>
    <s v="UCEO_1xjI50wCbR4qgqVJ62A"/>
    <s v="bobby watson"/>
    <s v="http://www.youtube.com/channel/UCEO_1xjI50wCbR4qgqVJ62A"/>
    <m/>
    <s v="SmHak99S7D0"/>
    <s v="https://www.youtube.com/watch?v=SmHak99S7D0"/>
    <s v="none"/>
    <n v="1"/>
    <x v="54"/>
    <d v="2023-08-14T09:26:39.000"/>
    <m/>
    <m/>
    <m/>
    <n v="1"/>
    <n v="8"/>
    <n v="8"/>
    <n v="0"/>
    <n v="0"/>
    <n v="0"/>
    <n v="0"/>
    <n v="0"/>
    <n v="0"/>
    <n v="1"/>
    <n v="12.5"/>
    <n v="8"/>
  </r>
  <r>
    <s v="UChjx21hiMTlfhgfwBHsckIw"/>
    <s v="UCWJTR_566mevyIG30OveSBQ"/>
    <s v="128, 128, 128"/>
    <n v="3"/>
    <m/>
    <n v="40"/>
    <m/>
    <m/>
    <m/>
    <m/>
    <s v="No"/>
    <n v="58"/>
    <m/>
    <m/>
    <s v="Commented Video"/>
    <x v="0"/>
    <s v="&lt;a href=&quot;https://youtu.be/6oTKO3XiN34&quot;&gt;https://youtu.be/6oTKO3XiN34&lt;/a&gt;&lt;br&gt;Great job Team ABC. Keep up the good work. THUMBS UP 👍👍"/>
    <s v="UChjx21hiMTlfhgfwBHsckIw"/>
    <s v="WildSideLife"/>
    <s v="http://www.youtube.com/channel/UChjx21hiMTlfhgfwBHsckIw"/>
    <m/>
    <s v="HRqaxX9d1KY"/>
    <s v="https://www.youtube.com/watch?v=HRqaxX9d1KY"/>
    <s v="none"/>
    <n v="1"/>
    <x v="55"/>
    <d v="2022-02-03T16:15:13.000"/>
    <s v="https://youtu.be/6oTKO3XiN34 https://youtu.be/6oTKO3XiN34"/>
    <s v="youtu.be youtu.be"/>
    <m/>
    <n v="1"/>
    <n v="7"/>
    <n v="7"/>
    <n v="3"/>
    <n v="13.043478260869565"/>
    <n v="0"/>
    <n v="0"/>
    <n v="0"/>
    <n v="0"/>
    <n v="7"/>
    <n v="30.434782608695652"/>
    <n v="23"/>
  </r>
  <r>
    <s v="UChXz-P6I7WEkj4SrLhck-9A"/>
    <s v="UCWJTR_566mevyIG30OveSBQ"/>
    <s v="128, 128, 128"/>
    <n v="3"/>
    <m/>
    <n v="40"/>
    <m/>
    <m/>
    <m/>
    <m/>
    <s v="No"/>
    <n v="59"/>
    <m/>
    <m/>
    <s v="Commented Video"/>
    <x v="0"/>
    <s v="Top stuff ABC foundation awesome job👏🏾"/>
    <s v="UChXz-P6I7WEkj4SrLhck-9A"/>
    <s v="chule1100"/>
    <s v="http://www.youtube.com/channel/UChXz-P6I7WEkj4SrLhck-9A"/>
    <m/>
    <s v="HRqaxX9d1KY"/>
    <s v="https://www.youtube.com/watch?v=HRqaxX9d1KY"/>
    <s v="none"/>
    <n v="0"/>
    <x v="56"/>
    <d v="2022-02-04T06:16:31.000"/>
    <m/>
    <m/>
    <m/>
    <n v="1"/>
    <n v="7"/>
    <n v="7"/>
    <n v="1"/>
    <n v="16.666666666666668"/>
    <n v="0"/>
    <n v="0"/>
    <n v="0"/>
    <n v="0"/>
    <n v="4"/>
    <n v="66.66666666666667"/>
    <n v="6"/>
  </r>
  <r>
    <s v="UCWJTR_566mevyIG30OveSBQ"/>
    <s v="UCWJTR_566mevyIG30OveSBQ"/>
    <s v="128, 128, 128"/>
    <n v="3"/>
    <m/>
    <n v="40"/>
    <m/>
    <m/>
    <m/>
    <m/>
    <s v="No"/>
    <n v="60"/>
    <m/>
    <m/>
    <s v="Posted Video"/>
    <x v="1"/>
    <m/>
    <m/>
    <m/>
    <m/>
    <m/>
    <s v="HRqaxX9d1KY"/>
    <s v="https://www.youtube.com/watch?v=HRqaxX9d1KY"/>
    <m/>
    <m/>
    <x v="57"/>
    <m/>
    <m/>
    <m/>
    <m/>
    <n v="1"/>
    <n v="7"/>
    <n v="7"/>
    <m/>
    <m/>
    <m/>
    <m/>
    <m/>
    <m/>
    <m/>
    <m/>
    <m/>
  </r>
  <r>
    <s v="UCVRcC3-UyDw6AoxP_x12FzQ"/>
    <s v="UCWJTR_566mevyIG30OveSBQ"/>
    <s v="128, 128, 128"/>
    <n v="3"/>
    <m/>
    <n v="40"/>
    <m/>
    <m/>
    <m/>
    <m/>
    <s v="No"/>
    <n v="61"/>
    <m/>
    <m/>
    <s v="Commented Video"/>
    <x v="0"/>
    <s v="This is interesting"/>
    <s v="UCVRcC3-UyDw6AoxP_x12FzQ"/>
    <s v="kapita kapita"/>
    <s v="http://www.youtube.com/channel/UCVRcC3-UyDw6AoxP_x12FzQ"/>
    <m/>
    <s v="HRqaxX9d1KY"/>
    <s v="https://www.youtube.com/watch?v=HRqaxX9d1KY"/>
    <s v="none"/>
    <n v="0"/>
    <x v="58"/>
    <d v="2022-09-17T05:21:14.000"/>
    <m/>
    <m/>
    <m/>
    <n v="1"/>
    <n v="7"/>
    <n v="7"/>
    <n v="1"/>
    <n v="33.333333333333336"/>
    <n v="0"/>
    <n v="0"/>
    <n v="0"/>
    <n v="0"/>
    <n v="0"/>
    <n v="0"/>
    <n v="3"/>
  </r>
  <r>
    <s v="UCIkVw-7ZJmnvoSLvR_EVDuw"/>
    <s v="UC4EBLyv8FBuRC-OqRCBI1Ag"/>
    <s v="128, 128, 128"/>
    <n v="3"/>
    <m/>
    <n v="40"/>
    <m/>
    <m/>
    <m/>
    <m/>
    <s v="No"/>
    <n v="62"/>
    <m/>
    <m/>
    <s v="Commented Video"/>
    <x v="0"/>
    <s v="Awesome  video  sister  juliet  &lt;br&gt;If u were single  u should  have  being my wife and take you to  my country  Sierra Leone  Freetown  from  your bro in Germany  &lt;br&gt;You your husband  and  your  son are the  best family  I have  ever  seen  in my life continue  the  good  job"/>
    <s v="UCIkVw-7ZJmnvoSLvR_EVDuw"/>
    <s v="Robinho jalloh"/>
    <s v="http://www.youtube.com/channel/UCIkVw-7ZJmnvoSLvR_EVDuw"/>
    <m/>
    <s v="OnEGLhO0ZkA"/>
    <s v="https://www.youtube.com/watch?v=OnEGLhO0ZkA"/>
    <s v="none"/>
    <n v="0"/>
    <x v="59"/>
    <d v="2019-10-05T20:16:05.000"/>
    <m/>
    <m/>
    <m/>
    <n v="1"/>
    <n v="1"/>
    <n v="1"/>
    <n v="3"/>
    <n v="5.882352941176471"/>
    <n v="0"/>
    <n v="0"/>
    <n v="0"/>
    <n v="0"/>
    <n v="16"/>
    <n v="31.372549019607842"/>
    <n v="51"/>
  </r>
  <r>
    <s v="UC8o1tPWDu-BCJNUJzxdsdZQ"/>
    <s v="UC4EBLyv8FBuRC-OqRCBI1Ag"/>
    <s v="128, 128, 128"/>
    <n v="3"/>
    <m/>
    <n v="40"/>
    <m/>
    <m/>
    <m/>
    <m/>
    <s v="No"/>
    <n v="63"/>
    <m/>
    <m/>
    <s v="Commented Video"/>
    <x v="0"/>
    <s v="Another job WELL DONE, Juliet ! ! Kehinde Omo Naija, doing great thangs in the Gambia, BIG UPS to you my brother ! ! Y&amp;#39;all keep up the great and blessed work ! ! Rastafari Bless &amp;amp; One Love ! !"/>
    <s v="UC8o1tPWDu-BCJNUJzxdsdZQ"/>
    <s v="Owen E."/>
    <s v="http://www.youtube.com/channel/UC8o1tPWDu-BCJNUJzxdsdZQ"/>
    <m/>
    <s v="OnEGLhO0ZkA"/>
    <s v="https://www.youtube.com/watch?v=OnEGLhO0ZkA"/>
    <s v="none"/>
    <n v="7"/>
    <x v="60"/>
    <d v="2019-10-05T20:26:11.000"/>
    <m/>
    <m/>
    <m/>
    <n v="1"/>
    <n v="1"/>
    <n v="1"/>
    <n v="6"/>
    <n v="17.142857142857142"/>
    <n v="0"/>
    <n v="0"/>
    <n v="0"/>
    <n v="0"/>
    <n v="12"/>
    <n v="34.285714285714285"/>
    <n v="35"/>
  </r>
  <r>
    <s v="UCjUQ4hGAkwC5BPHBwx9nvbQ"/>
    <s v="UC4EBLyv8FBuRC-OqRCBI1Ag"/>
    <s v="128, 128, 128"/>
    <n v="3"/>
    <m/>
    <n v="40"/>
    <m/>
    <m/>
    <m/>
    <m/>
    <s v="No"/>
    <n v="64"/>
    <m/>
    <m/>
    <s v="Commented Video"/>
    <x v="0"/>
    <s v="Excellent healthcare facility, excellent staff, excellent treatment"/>
    <s v="UCjUQ4hGAkwC5BPHBwx9nvbQ"/>
    <s v="Reality"/>
    <s v="http://www.youtube.com/channel/UCjUQ4hGAkwC5BPHBwx9nvbQ"/>
    <m/>
    <s v="OnEGLhO0ZkA"/>
    <s v="https://www.youtube.com/watch?v=OnEGLhO0ZkA"/>
    <s v="none"/>
    <n v="3"/>
    <x v="61"/>
    <d v="2019-10-05T20:41:47.000"/>
    <m/>
    <m/>
    <m/>
    <n v="1"/>
    <n v="1"/>
    <n v="1"/>
    <n v="3"/>
    <n v="42.857142857142854"/>
    <n v="0"/>
    <n v="0"/>
    <n v="0"/>
    <n v="0"/>
    <n v="4"/>
    <n v="57.142857142857146"/>
    <n v="7"/>
  </r>
  <r>
    <s v="UCt-cEUPgKELe_mjOcXAzCxw"/>
    <s v="UC4EBLyv8FBuRC-OqRCBI1Ag"/>
    <s v="128, 128, 128"/>
    <n v="3"/>
    <m/>
    <n v="40"/>
    <m/>
    <m/>
    <m/>
    <m/>
    <s v="No"/>
    <n v="65"/>
    <m/>
    <m/>
    <s v="Commented Video"/>
    <x v="0"/>
    <s v="This is private care so not comparable to the NHS. Other than that an informative video."/>
    <s v="UCt-cEUPgKELe_mjOcXAzCxw"/>
    <s v="divergence films"/>
    <s v="http://www.youtube.com/channel/UCt-cEUPgKELe_mjOcXAzCxw"/>
    <m/>
    <s v="OnEGLhO0ZkA"/>
    <s v="https://www.youtube.com/watch?v=OnEGLhO0ZkA"/>
    <s v="none"/>
    <n v="1"/>
    <x v="62"/>
    <d v="2019-10-05T20:53:04.000"/>
    <m/>
    <m/>
    <m/>
    <n v="1"/>
    <n v="1"/>
    <n v="1"/>
    <n v="0"/>
    <n v="0"/>
    <n v="0"/>
    <n v="0"/>
    <n v="0"/>
    <n v="0"/>
    <n v="5"/>
    <n v="31.25"/>
    <n v="16"/>
  </r>
  <r>
    <s v="UCYwBJTolTeCZFMr8r775XeA"/>
    <s v="UC4EBLyv8FBuRC-OqRCBI1Ag"/>
    <s v="128, 128, 128"/>
    <n v="3"/>
    <m/>
    <n v="40"/>
    <m/>
    <m/>
    <m/>
    <m/>
    <s v="No"/>
    <n v="66"/>
    <m/>
    <m/>
    <s v="Commented Video"/>
    <x v="0"/>
    <s v="Gambia s having a good doctors in the diaspora an they are coming home to develop there own country"/>
    <s v="UCYwBJTolTeCZFMr8r775XeA"/>
    <s v="leandre jousua"/>
    <s v="http://www.youtube.com/channel/UCYwBJTolTeCZFMr8r775XeA"/>
    <m/>
    <s v="OnEGLhO0ZkA"/>
    <s v="https://www.youtube.com/watch?v=OnEGLhO0ZkA"/>
    <s v="none"/>
    <n v="31"/>
    <x v="63"/>
    <d v="2019-10-05T20:57:59.000"/>
    <m/>
    <m/>
    <m/>
    <n v="1"/>
    <n v="1"/>
    <n v="1"/>
    <n v="1"/>
    <n v="5.2631578947368425"/>
    <n v="0"/>
    <n v="0"/>
    <n v="0"/>
    <n v="0"/>
    <n v="7"/>
    <n v="36.8421052631579"/>
    <n v="19"/>
  </r>
  <r>
    <s v="UCaBeiVeg5hadiDDss6L5gtg"/>
    <s v="UC4EBLyv8FBuRC-OqRCBI1Ag"/>
    <s v="128, 128, 128"/>
    <n v="3"/>
    <m/>
    <n v="40"/>
    <m/>
    <m/>
    <m/>
    <m/>
    <s v="No"/>
    <n v="67"/>
    <m/>
    <m/>
    <s v="Commented Video"/>
    <x v="0"/>
    <s v="Thank you for this important information, Juliet."/>
    <s v="UCaBeiVeg5hadiDDss6L5gtg"/>
    <s v="Sunkiss Flower"/>
    <s v="http://www.youtube.com/channel/UCaBeiVeg5hadiDDss6L5gtg"/>
    <m/>
    <s v="OnEGLhO0ZkA"/>
    <s v="https://www.youtube.com/watch?v=OnEGLhO0ZkA"/>
    <s v="none"/>
    <n v="1"/>
    <x v="64"/>
    <d v="2019-10-05T21:20:15.000"/>
    <m/>
    <m/>
    <m/>
    <n v="1"/>
    <n v="1"/>
    <n v="1"/>
    <n v="1"/>
    <n v="14.285714285714286"/>
    <n v="0"/>
    <n v="0"/>
    <n v="0"/>
    <n v="0"/>
    <n v="2"/>
    <n v="28.571428571428573"/>
    <n v="7"/>
  </r>
  <r>
    <s v="UC8WjHLxKVyYykE382cYP60w"/>
    <s v="UC4EBLyv8FBuRC-OqRCBI1Ag"/>
    <s v="128, 128, 128"/>
    <n v="3"/>
    <m/>
    <n v="40"/>
    <m/>
    <m/>
    <m/>
    <m/>
    <s v="No"/>
    <n v="68"/>
    <m/>
    <m/>
    <s v="Commented Video"/>
    <x v="0"/>
    <s v="Gambia, one of Africa`s best kept secret."/>
    <s v="UC8WjHLxKVyYykE382cYP60w"/>
    <s v="Past Present History Documentaries"/>
    <s v="http://www.youtube.com/channel/UC8WjHLxKVyYykE382cYP60w"/>
    <m/>
    <s v="OnEGLhO0ZkA"/>
    <s v="https://www.youtube.com/watch?v=OnEGLhO0ZkA"/>
    <s v="none"/>
    <n v="11"/>
    <x v="65"/>
    <d v="2019-10-05T21:36:43.000"/>
    <m/>
    <m/>
    <m/>
    <n v="1"/>
    <n v="1"/>
    <n v="1"/>
    <n v="1"/>
    <n v="12.5"/>
    <n v="0"/>
    <n v="0"/>
    <n v="0"/>
    <n v="0"/>
    <n v="4"/>
    <n v="50"/>
    <n v="8"/>
  </r>
  <r>
    <s v="UCfArVUQJlz5wMyjQlHvz3jA"/>
    <s v="UC4EBLyv8FBuRC-OqRCBI1Ag"/>
    <s v="128, 128, 128"/>
    <n v="3"/>
    <m/>
    <n v="40"/>
    <m/>
    <m/>
    <m/>
    <m/>
    <s v="No"/>
    <n v="69"/>
    <m/>
    <m/>
    <s v="Commented Video"/>
    <x v="0"/>
    <s v="How much do it cost to see the Doctor that you seeing right now"/>
    <s v="UCfArVUQJlz5wMyjQlHvz3jA"/>
    <s v="mr Cool"/>
    <s v="http://www.youtube.com/channel/UCfArVUQJlz5wMyjQlHvz3jA"/>
    <m/>
    <s v="OnEGLhO0ZkA"/>
    <s v="https://www.youtube.com/watch?v=OnEGLhO0ZkA"/>
    <s v="none"/>
    <n v="1"/>
    <x v="66"/>
    <d v="2019-10-05T21:48:35.000"/>
    <m/>
    <m/>
    <m/>
    <n v="1"/>
    <n v="1"/>
    <n v="1"/>
    <n v="1"/>
    <n v="7.142857142857143"/>
    <n v="0"/>
    <n v="0"/>
    <n v="0"/>
    <n v="0"/>
    <n v="2"/>
    <n v="14.285714285714286"/>
    <n v="14"/>
  </r>
  <r>
    <s v="UCO8OT3BRG-5wBT8iw221U2A"/>
    <s v="UC4EBLyv8FBuRC-OqRCBI1Ag"/>
    <s v="128, 128, 128"/>
    <n v="3"/>
    <m/>
    <n v="40"/>
    <m/>
    <m/>
    <m/>
    <m/>
    <s v="No"/>
    <n v="70"/>
    <m/>
    <m/>
    <s v="Commented Video"/>
    <x v="0"/>
    <s v="Thank you for another excellent video sister! Much love to you!💜🌍"/>
    <s v="UCO8OT3BRG-5wBT8iw221U2A"/>
    <s v="Vinessa Bryant"/>
    <s v="http://www.youtube.com/channel/UCO8OT3BRG-5wBT8iw221U2A"/>
    <m/>
    <s v="OnEGLhO0ZkA"/>
    <s v="https://www.youtube.com/watch?v=OnEGLhO0ZkA"/>
    <s v="none"/>
    <n v="1"/>
    <x v="67"/>
    <d v="2019-10-05T22:10:11.000"/>
    <m/>
    <m/>
    <m/>
    <n v="1"/>
    <n v="1"/>
    <n v="1"/>
    <n v="2"/>
    <n v="18.181818181818183"/>
    <n v="0"/>
    <n v="0"/>
    <n v="0"/>
    <n v="0"/>
    <n v="1"/>
    <n v="9.090909090909092"/>
    <n v="11"/>
  </r>
  <r>
    <s v="UCGH_hGQtNbU45-QrTWyoI-Q"/>
    <s v="UC4EBLyv8FBuRC-OqRCBI1Ag"/>
    <s v="196, 59, 59"/>
    <n v="3"/>
    <m/>
    <n v="40"/>
    <m/>
    <m/>
    <m/>
    <m/>
    <s v="No"/>
    <n v="71"/>
    <m/>
    <m/>
    <s v="Commented Video"/>
    <x v="0"/>
    <s v="I dont understand people who critize our sister because l heard from a white couple here in South Africa who relocate from UK saying that NHS is not okay than what they are getting here they say the waiting list for operations is not fast enough so Juliet is talking the truth"/>
    <s v="UCGH_hGQtNbU45-QrTWyoI-Q"/>
    <s v="Sharai Makara"/>
    <s v="http://www.youtube.com/channel/UCGH_hGQtNbU45-QrTWyoI-Q"/>
    <m/>
    <s v="OnEGLhO0ZkA"/>
    <s v="https://www.youtube.com/watch?v=OnEGLhO0ZkA"/>
    <s v="none"/>
    <n v="4"/>
    <x v="68"/>
    <d v="2019-10-05T22:22:15.000"/>
    <m/>
    <m/>
    <m/>
    <n v="9"/>
    <n v="1"/>
    <n v="1"/>
    <n v="1"/>
    <n v="1.9230769230769231"/>
    <n v="0"/>
    <n v="0"/>
    <n v="0"/>
    <n v="0"/>
    <n v="18"/>
    <n v="34.61538461538461"/>
    <n v="52"/>
  </r>
  <r>
    <s v="UC_ZD1HujKRBFY4iOvPzYGdA"/>
    <s v="UC4EBLyv8FBuRC-OqRCBI1Ag"/>
    <s v="128, 128, 128"/>
    <n v="3"/>
    <m/>
    <n v="40"/>
    <m/>
    <m/>
    <m/>
    <m/>
    <s v="No"/>
    <n v="72"/>
    <m/>
    <m/>
    <s v="Commented Video"/>
    <x v="0"/>
    <s v="Getting to the heart of what concerns the transitioning diaspora"/>
    <s v="UC_ZD1HujKRBFY4iOvPzYGdA"/>
    <s v="Rudy Grissom"/>
    <s v="http://www.youtube.com/channel/UC_ZD1HujKRBFY4iOvPzYGdA"/>
    <m/>
    <s v="OnEGLhO0ZkA"/>
    <s v="https://www.youtube.com/watch?v=OnEGLhO0ZkA"/>
    <s v="none"/>
    <n v="1"/>
    <x v="69"/>
    <d v="2019-10-05T22:45:10.000"/>
    <m/>
    <m/>
    <m/>
    <n v="1"/>
    <n v="1"/>
    <n v="1"/>
    <n v="0"/>
    <n v="0"/>
    <n v="1"/>
    <n v="10"/>
    <n v="0"/>
    <n v="0"/>
    <n v="3"/>
    <n v="30"/>
    <n v="10"/>
  </r>
  <r>
    <s v="UCXaUIMYGBNzAIe4a7bt88ng"/>
    <s v="UC4EBLyv8FBuRC-OqRCBI1Ag"/>
    <s v="128, 128, 128"/>
    <n v="3"/>
    <m/>
    <n v="40"/>
    <m/>
    <m/>
    <m/>
    <m/>
    <s v="No"/>
    <n v="73"/>
    <m/>
    <m/>
    <s v="Commented Video"/>
    <x v="0"/>
    <s v="Juliet did you hurt your foot, waist or feet as you seem to be walking uncomfortably in one or two clips?"/>
    <s v="UCXaUIMYGBNzAIe4a7bt88ng"/>
    <s v="gantswood"/>
    <s v="http://www.youtube.com/channel/UCXaUIMYGBNzAIe4a7bt88ng"/>
    <m/>
    <s v="OnEGLhO0ZkA"/>
    <s v="https://www.youtube.com/watch?v=OnEGLhO0ZkA"/>
    <s v="none"/>
    <n v="0"/>
    <x v="70"/>
    <d v="2019-10-05T23:30:18.000"/>
    <m/>
    <m/>
    <m/>
    <n v="1"/>
    <n v="1"/>
    <n v="1"/>
    <n v="0"/>
    <n v="0"/>
    <n v="2"/>
    <n v="9.523809523809524"/>
    <n v="0"/>
    <n v="0"/>
    <n v="6"/>
    <n v="28.571428571428573"/>
    <n v="21"/>
  </r>
  <r>
    <s v="UCNTrgkXCcj7CQJlehJqBgCQ"/>
    <s v="UC4EBLyv8FBuRC-OqRCBI1Ag"/>
    <s v="128, 128, 128"/>
    <n v="3"/>
    <m/>
    <n v="40"/>
    <m/>
    <m/>
    <m/>
    <m/>
    <s v="No"/>
    <n v="74"/>
    <m/>
    <m/>
    <s v="Commented Video"/>
    <x v="0"/>
    <s v="Than you Juliet, beautiful, efficient and great services !!!! much love"/>
    <s v="UCNTrgkXCcj7CQJlehJqBgCQ"/>
    <s v="Mayela Queen"/>
    <s v="http://www.youtube.com/channel/UCNTrgkXCcj7CQJlehJqBgCQ"/>
    <m/>
    <s v="OnEGLhO0ZkA"/>
    <s v="https://www.youtube.com/watch?v=OnEGLhO0ZkA"/>
    <s v="none"/>
    <n v="1"/>
    <x v="71"/>
    <d v="2019-10-05T22:52:53.000"/>
    <m/>
    <m/>
    <m/>
    <n v="1"/>
    <n v="1"/>
    <n v="1"/>
    <n v="4"/>
    <n v="40"/>
    <n v="0"/>
    <n v="0"/>
    <n v="0"/>
    <n v="0"/>
    <n v="2"/>
    <n v="20"/>
    <n v="10"/>
  </r>
  <r>
    <s v="UCLAlhhCrES_TuopULN19-yQ"/>
    <s v="UC4EBLyv8FBuRC-OqRCBI1Ag"/>
    <s v="128, 128, 128"/>
    <n v="3"/>
    <m/>
    <n v="40"/>
    <m/>
    <m/>
    <m/>
    <m/>
    <s v="No"/>
    <n v="75"/>
    <m/>
    <m/>
    <s v="Commented Video"/>
    <x v="0"/>
    <s v="Seems like their processes are all optimized and streamlined too. Excellent!"/>
    <s v="UCLAlhhCrES_TuopULN19-yQ"/>
    <s v="sd&amp;h 99"/>
    <s v="http://www.youtube.com/channel/UCLAlhhCrES_TuopULN19-yQ"/>
    <m/>
    <s v="OnEGLhO0ZkA"/>
    <s v="https://www.youtube.com/watch?v=OnEGLhO0ZkA"/>
    <s v="none"/>
    <n v="1"/>
    <x v="72"/>
    <d v="2019-10-05T23:01:08.000"/>
    <m/>
    <m/>
    <m/>
    <n v="1"/>
    <n v="1"/>
    <n v="1"/>
    <n v="3"/>
    <n v="27.272727272727273"/>
    <n v="0"/>
    <n v="0"/>
    <n v="0"/>
    <n v="0"/>
    <n v="2"/>
    <n v="18.181818181818183"/>
    <n v="11"/>
  </r>
  <r>
    <s v="UCXa4DFnMX6Brmh3mAqvjUOQ"/>
    <s v="UC4EBLyv8FBuRC-OqRCBI1Ag"/>
    <s v="128, 128, 128"/>
    <n v="3"/>
    <m/>
    <n v="40"/>
    <m/>
    <m/>
    <m/>
    <m/>
    <s v="No"/>
    <n v="76"/>
    <m/>
    <m/>
    <s v="Commented Video"/>
    <x v="0"/>
    <s v="Very interesting video to watch , thank you Juliet ."/>
    <s v="UCXa4DFnMX6Brmh3mAqvjUOQ"/>
    <s v="Rahma Hussein"/>
    <s v="http://www.youtube.com/channel/UCXa4DFnMX6Brmh3mAqvjUOQ"/>
    <m/>
    <s v="OnEGLhO0ZkA"/>
    <s v="https://www.youtube.com/watch?v=OnEGLhO0ZkA"/>
    <s v="none"/>
    <n v="0"/>
    <x v="73"/>
    <d v="2019-10-05T23:02:35.000"/>
    <m/>
    <m/>
    <m/>
    <n v="1"/>
    <n v="1"/>
    <n v="1"/>
    <n v="1"/>
    <n v="12.5"/>
    <n v="0"/>
    <n v="0"/>
    <n v="0"/>
    <n v="0"/>
    <n v="1"/>
    <n v="12.5"/>
    <n v="8"/>
  </r>
  <r>
    <s v="UCS-EWpwAltfMYa927MkQPTw"/>
    <s v="UC4EBLyv8FBuRC-OqRCBI1Ag"/>
    <s v="128, 128, 128"/>
    <n v="3"/>
    <m/>
    <n v="40"/>
    <m/>
    <m/>
    <m/>
    <m/>
    <s v="No"/>
    <n v="77"/>
    <m/>
    <m/>
    <s v="Commented Video"/>
    <x v="0"/>
    <s v="Do you pay for medical care in the Gambia sister Juliet please reply."/>
    <s v="UCS-EWpwAltfMYa927MkQPTw"/>
    <s v="Janet Facey"/>
    <s v="http://www.youtube.com/channel/UCS-EWpwAltfMYa927MkQPTw"/>
    <m/>
    <s v="OnEGLhO0ZkA"/>
    <s v="https://www.youtube.com/watch?v=OnEGLhO0ZkA"/>
    <s v="none"/>
    <n v="0"/>
    <x v="74"/>
    <d v="2019-10-05T23:10:10.000"/>
    <m/>
    <m/>
    <m/>
    <n v="1"/>
    <n v="1"/>
    <n v="1"/>
    <n v="0"/>
    <n v="0"/>
    <n v="0"/>
    <n v="0"/>
    <n v="0"/>
    <n v="0"/>
    <n v="7"/>
    <n v="53.84615384615385"/>
    <n v="13"/>
  </r>
  <r>
    <s v="UCU2bqZXef_k6nvgCQJs4r2A"/>
    <s v="UC4EBLyv8FBuRC-OqRCBI1Ag"/>
    <s v="128, 128, 128"/>
    <n v="3"/>
    <m/>
    <n v="40"/>
    <m/>
    <m/>
    <m/>
    <m/>
    <s v="No"/>
    <n v="78"/>
    <m/>
    <m/>
    <s v="Commented Video"/>
    <x v="0"/>
    <s v="Nice Job sister 😍"/>
    <s v="UCU2bqZXef_k6nvgCQJs4r2A"/>
    <s v="Mundo Isatou"/>
    <s v="http://www.youtube.com/channel/UCU2bqZXef_k6nvgCQJs4r2A"/>
    <m/>
    <s v="OnEGLhO0ZkA"/>
    <s v="https://www.youtube.com/watch?v=OnEGLhO0ZkA"/>
    <s v="none"/>
    <n v="0"/>
    <x v="75"/>
    <d v="2019-10-05T23:14:02.000"/>
    <m/>
    <m/>
    <m/>
    <n v="1"/>
    <n v="1"/>
    <n v="1"/>
    <n v="1"/>
    <n v="33.333333333333336"/>
    <n v="0"/>
    <n v="0"/>
    <n v="0"/>
    <n v="0"/>
    <n v="2"/>
    <n v="66.66666666666667"/>
    <n v="3"/>
  </r>
  <r>
    <s v="UCDWWvVklzjZAbCF-uvJbn5Q"/>
    <s v="UC4EBLyv8FBuRC-OqRCBI1Ag"/>
    <s v="128, 128, 128"/>
    <n v="3"/>
    <m/>
    <n v="40"/>
    <m/>
    <m/>
    <m/>
    <m/>
    <s v="No"/>
    <n v="79"/>
    <m/>
    <m/>
    <s v="Commented Video"/>
    <x v="0"/>
    <s v="Thanks you my African  Queen keep it up real good 💋💋"/>
    <s v="UCDWWvVklzjZAbCF-uvJbn5Q"/>
    <s v="patricia osakwe"/>
    <s v="http://www.youtube.com/channel/UCDWWvVklzjZAbCF-uvJbn5Q"/>
    <m/>
    <s v="OnEGLhO0ZkA"/>
    <s v="https://www.youtube.com/watch?v=OnEGLhO0ZkA"/>
    <s v="none"/>
    <n v="1"/>
    <x v="76"/>
    <d v="2019-10-05T23:34:29.000"/>
    <m/>
    <m/>
    <m/>
    <n v="1"/>
    <n v="1"/>
    <n v="1"/>
    <n v="1"/>
    <n v="10"/>
    <n v="0"/>
    <n v="0"/>
    <n v="0"/>
    <n v="0"/>
    <n v="4"/>
    <n v="40"/>
    <n v="10"/>
  </r>
  <r>
    <s v="UCnvEQ72X4zUvfykkduU-zEg"/>
    <s v="UC4EBLyv8FBuRC-OqRCBI1Ag"/>
    <s v="128, 128, 128"/>
    <n v="3"/>
    <m/>
    <n v="40"/>
    <m/>
    <m/>
    <m/>
    <m/>
    <s v="No"/>
    <n v="80"/>
    <m/>
    <m/>
    <s v="Commented Video"/>
    <x v="0"/>
    <s v="Give us for  a tour  of the groceries  stores  or  markets"/>
    <s v="UCnvEQ72X4zUvfykkduU-zEg"/>
    <s v="jesula smith"/>
    <s v="http://www.youtube.com/channel/UCnvEQ72X4zUvfykkduU-zEg"/>
    <m/>
    <s v="OnEGLhO0ZkA"/>
    <s v="https://www.youtube.com/watch?v=OnEGLhO0ZkA"/>
    <s v="none"/>
    <n v="0"/>
    <x v="77"/>
    <d v="2019-10-05T23:45:41.000"/>
    <m/>
    <m/>
    <m/>
    <n v="1"/>
    <n v="1"/>
    <n v="1"/>
    <n v="0"/>
    <n v="0"/>
    <n v="0"/>
    <n v="0"/>
    <n v="0"/>
    <n v="0"/>
    <n v="4"/>
    <n v="36.36363636363637"/>
    <n v="11"/>
  </r>
  <r>
    <s v="UCb5yAzMlnPA0R3MZdUo90qw"/>
    <s v="UC4EBLyv8FBuRC-OqRCBI1Ag"/>
    <s v="128, 128, 128"/>
    <n v="3"/>
    <m/>
    <n v="40"/>
    <m/>
    <m/>
    <m/>
    <m/>
    <s v="No"/>
    <n v="81"/>
    <m/>
    <m/>
    <s v="Commented Video"/>
    <x v="0"/>
    <s v="Your videos are wonderful. It&amp;#39;s answering so many questions I have. Great work!"/>
    <s v="UCb5yAzMlnPA0R3MZdUo90qw"/>
    <s v="Laticia Taylor"/>
    <s v="http://www.youtube.com/channel/UCb5yAzMlnPA0R3MZdUo90qw"/>
    <m/>
    <s v="OnEGLhO0ZkA"/>
    <s v="https://www.youtube.com/watch?v=OnEGLhO0ZkA"/>
    <s v="none"/>
    <n v="1"/>
    <x v="78"/>
    <d v="2019-10-05T23:46:43.000"/>
    <m/>
    <m/>
    <m/>
    <n v="1"/>
    <n v="1"/>
    <n v="1"/>
    <n v="3"/>
    <n v="20"/>
    <n v="0"/>
    <n v="0"/>
    <n v="0"/>
    <n v="0"/>
    <n v="2"/>
    <n v="13.333333333333334"/>
    <n v="15"/>
  </r>
  <r>
    <s v="UCZtW_bJ0fIcVfxb4h4HbVrg"/>
    <s v="UC4EBLyv8FBuRC-OqRCBI1Ag"/>
    <s v="128, 128, 128"/>
    <n v="3"/>
    <m/>
    <n v="40"/>
    <m/>
    <m/>
    <m/>
    <m/>
    <s v="No"/>
    <n v="82"/>
    <m/>
    <m/>
    <s v="Commented Video"/>
    <x v="0"/>
    <s v="Thank you Juliet!"/>
    <s v="UCZtW_bJ0fIcVfxb4h4HbVrg"/>
    <s v="Jennifer Eaddy"/>
    <s v="http://www.youtube.com/channel/UCZtW_bJ0fIcVfxb4h4HbVrg"/>
    <m/>
    <s v="OnEGLhO0ZkA"/>
    <s v="https://www.youtube.com/watch?v=OnEGLhO0ZkA"/>
    <s v="none"/>
    <n v="1"/>
    <x v="79"/>
    <d v="2019-10-05T23:52:18.000"/>
    <m/>
    <m/>
    <m/>
    <n v="1"/>
    <n v="1"/>
    <n v="1"/>
    <n v="0"/>
    <n v="0"/>
    <n v="0"/>
    <n v="0"/>
    <n v="0"/>
    <n v="0"/>
    <n v="1"/>
    <n v="33.333333333333336"/>
    <n v="3"/>
  </r>
  <r>
    <s v="UCk1zLD771AWUPA6SieoPK-Q"/>
    <s v="UC4EBLyv8FBuRC-OqRCBI1Ag"/>
    <s v="128, 128, 128"/>
    <n v="3"/>
    <m/>
    <n v="40"/>
    <m/>
    <m/>
    <m/>
    <m/>
    <s v="No"/>
    <n v="83"/>
    <m/>
    <m/>
    <s v="Commented Video"/>
    <x v="0"/>
    <s v="Love you sister"/>
    <s v="UCk1zLD771AWUPA6SieoPK-Q"/>
    <s v="Modou Gaye"/>
    <s v="http://www.youtube.com/channel/UCk1zLD771AWUPA6SieoPK-Q"/>
    <m/>
    <s v="OnEGLhO0ZkA"/>
    <s v="https://www.youtube.com/watch?v=OnEGLhO0ZkA"/>
    <s v="none"/>
    <n v="0"/>
    <x v="80"/>
    <d v="2019-10-05T23:55:58.000"/>
    <m/>
    <m/>
    <m/>
    <n v="1"/>
    <n v="1"/>
    <n v="1"/>
    <n v="1"/>
    <n v="33.333333333333336"/>
    <n v="0"/>
    <n v="0"/>
    <n v="0"/>
    <n v="0"/>
    <n v="1"/>
    <n v="33.333333333333336"/>
    <n v="3"/>
  </r>
  <r>
    <s v="UCqNqnSJ9_Aa1qTwzuVCv_Ng"/>
    <s v="UC4EBLyv8FBuRC-OqRCBI1Ag"/>
    <s v="128, 128, 128"/>
    <n v="3"/>
    <m/>
    <n v="40"/>
    <m/>
    <m/>
    <m/>
    <m/>
    <s v="No"/>
    <n v="84"/>
    <m/>
    <m/>
    <s v="Commented Video"/>
    <x v="0"/>
    <s v="What is the doctors name ?"/>
    <s v="UCqNqnSJ9_Aa1qTwzuVCv_Ng"/>
    <s v="Motivate Demonstrate"/>
    <s v="http://www.youtube.com/channel/UCqNqnSJ9_Aa1qTwzuVCv_Ng"/>
    <m/>
    <s v="OnEGLhO0ZkA"/>
    <s v="https://www.youtube.com/watch?v=OnEGLhO0ZkA"/>
    <s v="none"/>
    <n v="0"/>
    <x v="81"/>
    <d v="2019-10-06T00:06:43.000"/>
    <m/>
    <m/>
    <m/>
    <n v="1"/>
    <n v="1"/>
    <n v="1"/>
    <n v="0"/>
    <n v="0"/>
    <n v="0"/>
    <n v="0"/>
    <n v="0"/>
    <n v="0"/>
    <n v="1"/>
    <n v="20"/>
    <n v="5"/>
  </r>
  <r>
    <s v="UC2TypNPSjOzKxTFc82N7BCw"/>
    <s v="UC4EBLyv8FBuRC-OqRCBI1Ag"/>
    <s v="128, 128, 128"/>
    <n v="3"/>
    <m/>
    <n v="40"/>
    <m/>
    <m/>
    <m/>
    <m/>
    <s v="No"/>
    <n v="85"/>
    <m/>
    <m/>
    <s v="Commented Video"/>
    <x v="0"/>
    <s v="Thanks for sharing such important information."/>
    <s v="UC2TypNPSjOzKxTFc82N7BCw"/>
    <s v="Dr Diane Thompson, MD"/>
    <s v="http://www.youtube.com/channel/UC2TypNPSjOzKxTFc82N7BCw"/>
    <m/>
    <s v="OnEGLhO0ZkA"/>
    <s v="https://www.youtube.com/watch?v=OnEGLhO0ZkA"/>
    <s v="none"/>
    <n v="0"/>
    <x v="82"/>
    <d v="2019-10-06T00:16:22.000"/>
    <m/>
    <m/>
    <m/>
    <n v="1"/>
    <n v="1"/>
    <n v="1"/>
    <n v="1"/>
    <n v="16.666666666666668"/>
    <n v="0"/>
    <n v="0"/>
    <n v="0"/>
    <n v="0"/>
    <n v="2"/>
    <n v="33.333333333333336"/>
    <n v="6"/>
  </r>
  <r>
    <s v="UCTeW3jGTyEtRefG0sMeY0vw"/>
    <s v="UC4EBLyv8FBuRC-OqRCBI1Ag"/>
    <s v="128, 128, 128"/>
    <n v="3"/>
    <m/>
    <n v="40"/>
    <m/>
    <m/>
    <m/>
    <m/>
    <s v="No"/>
    <n v="86"/>
    <m/>
    <m/>
    <s v="Commented Video"/>
    <x v="0"/>
    <s v="Black people are getting more greater and bigger in  development, and awareness. God bless Bla xit family 👪. God bless Africa."/>
    <s v="UCTeW3jGTyEtRefG0sMeY0vw"/>
    <s v="DESTINY'S CHILD."/>
    <s v="http://www.youtube.com/channel/UCTeW3jGTyEtRefG0sMeY0vw"/>
    <m/>
    <s v="OnEGLhO0ZkA"/>
    <s v="https://www.youtube.com/watch?v=OnEGLhO0ZkA"/>
    <s v="none"/>
    <n v="7"/>
    <x v="83"/>
    <d v="2019-10-06T00:24:10.000"/>
    <m/>
    <m/>
    <m/>
    <n v="1"/>
    <n v="1"/>
    <n v="1"/>
    <n v="2"/>
    <n v="10"/>
    <n v="0"/>
    <n v="0"/>
    <n v="0"/>
    <n v="0"/>
    <n v="12"/>
    <n v="60"/>
    <n v="20"/>
  </r>
  <r>
    <s v="UCyryTouSFjIUOJpuYXjkOgg"/>
    <s v="UC4EBLyv8FBuRC-OqRCBI1Ag"/>
    <s v="128, 128, 128"/>
    <n v="3"/>
    <m/>
    <n v="40"/>
    <m/>
    <m/>
    <m/>
    <m/>
    <s v="No"/>
    <n v="87"/>
    <m/>
    <m/>
    <s v="Commented Video"/>
    <x v="0"/>
    <s v="Nice post."/>
    <s v="UCyryTouSFjIUOJpuYXjkOgg"/>
    <s v="Isiejeme0829"/>
    <s v="http://www.youtube.com/channel/UCyryTouSFjIUOJpuYXjkOgg"/>
    <m/>
    <s v="OnEGLhO0ZkA"/>
    <s v="https://www.youtube.com/watch?v=OnEGLhO0ZkA"/>
    <s v="none"/>
    <n v="0"/>
    <x v="84"/>
    <d v="2019-10-06T00:34:15.000"/>
    <m/>
    <m/>
    <m/>
    <n v="1"/>
    <n v="1"/>
    <n v="1"/>
    <n v="1"/>
    <n v="50"/>
    <n v="0"/>
    <n v="0"/>
    <n v="0"/>
    <n v="0"/>
    <n v="1"/>
    <n v="50"/>
    <n v="2"/>
  </r>
  <r>
    <s v="UC2vqaGFPXK5rtxmUgayj9Cg"/>
    <s v="UC4EBLyv8FBuRC-OqRCBI1Ag"/>
    <s v="128, 128, 128"/>
    <n v="3"/>
    <m/>
    <n v="40"/>
    <m/>
    <m/>
    <m/>
    <m/>
    <s v="No"/>
    <n v="88"/>
    <m/>
    <m/>
    <s v="Commented Video"/>
    <x v="0"/>
    <s v="Good job sister.  Another job opportunity for our bla xit family:  medical equipment consultant, drug consultant."/>
    <s v="UC2vqaGFPXK5rtxmUgayj9Cg"/>
    <s v="Safiya Nuur"/>
    <s v="http://www.youtube.com/channel/UC2vqaGFPXK5rtxmUgayj9Cg"/>
    <m/>
    <s v="OnEGLhO0ZkA"/>
    <s v="https://www.youtube.com/watch?v=OnEGLhO0ZkA"/>
    <s v="none"/>
    <n v="0"/>
    <x v="85"/>
    <d v="2019-10-06T00:36:05.000"/>
    <m/>
    <m/>
    <m/>
    <n v="1"/>
    <n v="1"/>
    <n v="1"/>
    <n v="1"/>
    <n v="6.25"/>
    <n v="0"/>
    <n v="0"/>
    <n v="0"/>
    <n v="0"/>
    <n v="12"/>
    <n v="75"/>
    <n v="16"/>
  </r>
  <r>
    <s v="UCv5TeVZtogFh83_Fji72NIQ"/>
    <s v="UC4EBLyv8FBuRC-OqRCBI1Ag"/>
    <s v="128, 128, 128"/>
    <n v="3"/>
    <m/>
    <n v="40"/>
    <m/>
    <m/>
    <m/>
    <m/>
    <s v="No"/>
    <n v="89"/>
    <m/>
    <m/>
    <s v="Commented Video"/>
    <x v="0"/>
    <s v="This is what I am use to seeing in Jamaica. Black professionals in all areas of life. Good job Juliet."/>
    <s v="UCv5TeVZtogFh83_Fji72NIQ"/>
    <s v="jahbless4ever"/>
    <s v="http://www.youtube.com/channel/UCv5TeVZtogFh83_Fji72NIQ"/>
    <m/>
    <s v="OnEGLhO0ZkA"/>
    <s v="https://www.youtube.com/watch?v=OnEGLhO0ZkA"/>
    <s v="none"/>
    <n v="3"/>
    <x v="86"/>
    <d v="2019-10-06T00:48:53.000"/>
    <m/>
    <m/>
    <m/>
    <n v="1"/>
    <n v="1"/>
    <n v="1"/>
    <n v="1"/>
    <n v="5"/>
    <n v="0"/>
    <n v="0"/>
    <n v="0"/>
    <n v="0"/>
    <n v="6"/>
    <n v="30"/>
    <n v="20"/>
  </r>
  <r>
    <s v="UCM-2xp_NNRkBBMxfmIR0ygA"/>
    <s v="UC4EBLyv8FBuRC-OqRCBI1Ag"/>
    <s v="128, 128, 128"/>
    <n v="3"/>
    <m/>
    <n v="40"/>
    <m/>
    <m/>
    <m/>
    <m/>
    <s v="No"/>
    <n v="90"/>
    <m/>
    <m/>
    <s v="Commented Video"/>
    <x v="0"/>
    <s v="Black Queen, keep the flag flying. We love everything you represent."/>
    <s v="UCM-2xp_NNRkBBMxfmIR0ygA"/>
    <s v="Danny Boy"/>
    <s v="http://www.youtube.com/channel/UCM-2xp_NNRkBBMxfmIR0ygA"/>
    <m/>
    <s v="OnEGLhO0ZkA"/>
    <s v="https://www.youtube.com/watch?v=OnEGLhO0ZkA"/>
    <s v="none"/>
    <n v="0"/>
    <x v="87"/>
    <d v="2019-10-06T01:30:13.000"/>
    <m/>
    <m/>
    <m/>
    <n v="1"/>
    <n v="1"/>
    <n v="1"/>
    <n v="1"/>
    <n v="9.090909090909092"/>
    <n v="0"/>
    <n v="0"/>
    <n v="0"/>
    <n v="0"/>
    <n v="6"/>
    <n v="54.54545454545455"/>
    <n v="11"/>
  </r>
  <r>
    <s v="UCDJblvjBQLEgvuBerVeXghg"/>
    <s v="UC4EBLyv8FBuRC-OqRCBI1Ag"/>
    <s v="128, 128, 128"/>
    <n v="3"/>
    <m/>
    <n v="40"/>
    <m/>
    <m/>
    <m/>
    <m/>
    <s v="No"/>
    <n v="91"/>
    <m/>
    <m/>
    <s v="Commented Video"/>
    <x v="0"/>
    <s v="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
    <s v="UCDJblvjBQLEgvuBerVeXghg"/>
    <s v="Blessed Suama"/>
    <s v="http://www.youtube.com/channel/UCDJblvjBQLEgvuBerVeXghg"/>
    <m/>
    <s v="OnEGLhO0ZkA"/>
    <s v="https://www.youtube.com/watch?v=OnEGLhO0ZkA"/>
    <s v="none"/>
    <n v="17"/>
    <x v="88"/>
    <d v="2019-10-06T01:39:41.000"/>
    <m/>
    <m/>
    <m/>
    <n v="1"/>
    <n v="1"/>
    <n v="1"/>
    <n v="4"/>
    <n v="5.194805194805195"/>
    <n v="3"/>
    <n v="3.896103896103896"/>
    <n v="0"/>
    <n v="0"/>
    <n v="28"/>
    <n v="36.36363636363637"/>
    <n v="77"/>
  </r>
  <r>
    <s v="UCeu0i04HgzQh0IN2dYfnG6w"/>
    <s v="UC4EBLyv8FBuRC-OqRCBI1Ag"/>
    <s v="128, 128, 128"/>
    <n v="3"/>
    <m/>
    <n v="40"/>
    <m/>
    <m/>
    <m/>
    <m/>
    <s v="No"/>
    <n v="92"/>
    <m/>
    <m/>
    <s v="Commented Video"/>
    <x v="0"/>
    <s v="Wow DEEEEEP stuff"/>
    <s v="UCeu0i04HgzQh0IN2dYfnG6w"/>
    <s v="Prince 2020 MUSIC"/>
    <s v="http://www.youtube.com/channel/UCeu0i04HgzQh0IN2dYfnG6w"/>
    <m/>
    <s v="OnEGLhO0ZkA"/>
    <s v="https://www.youtube.com/watch?v=OnEGLhO0ZkA"/>
    <s v="none"/>
    <n v="0"/>
    <x v="89"/>
    <d v="2019-10-06T01:51:41.000"/>
    <m/>
    <m/>
    <m/>
    <n v="1"/>
    <n v="1"/>
    <n v="1"/>
    <n v="1"/>
    <n v="33.333333333333336"/>
    <n v="0"/>
    <n v="0"/>
    <n v="0"/>
    <n v="0"/>
    <n v="2"/>
    <n v="66.66666666666667"/>
    <n v="3"/>
  </r>
  <r>
    <s v="UCfAOHkpWLhMhsskxTvgujUQ"/>
    <s v="UC4EBLyv8FBuRC-OqRCBI1Ag"/>
    <s v="128, 128, 128"/>
    <n v="3"/>
    <m/>
    <n v="40"/>
    <m/>
    <m/>
    <m/>
    <m/>
    <s v="No"/>
    <n v="93"/>
    <m/>
    <m/>
    <s v="Commented Video"/>
    <x v="0"/>
    <s v="Very enlightening vlog❤️"/>
    <s v="UCfAOHkpWLhMhsskxTvgujUQ"/>
    <s v="kxwork"/>
    <s v="http://www.youtube.com/channel/UCfAOHkpWLhMhsskxTvgujUQ"/>
    <m/>
    <s v="OnEGLhO0ZkA"/>
    <s v="https://www.youtube.com/watch?v=OnEGLhO0ZkA"/>
    <s v="none"/>
    <n v="1"/>
    <x v="90"/>
    <d v="2019-10-06T02:39:08.000"/>
    <m/>
    <m/>
    <m/>
    <n v="1"/>
    <n v="1"/>
    <n v="1"/>
    <n v="0"/>
    <n v="0"/>
    <n v="0"/>
    <n v="0"/>
    <n v="0"/>
    <n v="0"/>
    <n v="2"/>
    <n v="66.66666666666667"/>
    <n v="3"/>
  </r>
  <r>
    <s v="UCrau40237Ed_blgZOlQkjpg"/>
    <s v="UC4EBLyv8FBuRC-OqRCBI1Ag"/>
    <s v="128, 128, 128"/>
    <n v="3"/>
    <m/>
    <n v="40"/>
    <m/>
    <m/>
    <m/>
    <m/>
    <s v="No"/>
    <n v="94"/>
    <m/>
    <m/>
    <s v="Commented Video"/>
    <x v="0"/>
    <s v="Juliet,&lt;br&gt;OMG!!! I&amp;#39;ve only watched 4mins and 34 sec into your blog and I&amp;#39;m so impressed. Your are an African Queen. I really feel like I could move to the Gambia😷🤒🤕. Please up the good work and thank you for answering my questions about healthcare in the Gambia. You are priceless!!"/>
    <s v="UCrau40237Ed_blgZOlQkjpg"/>
    <s v="Melissa Pierre"/>
    <s v="http://www.youtube.com/channel/UCrau40237Ed_blgZOlQkjpg"/>
    <m/>
    <s v="OnEGLhO0ZkA"/>
    <s v="https://www.youtube.com/watch?v=OnEGLhO0ZkA"/>
    <s v="none"/>
    <n v="2"/>
    <x v="91"/>
    <d v="2019-10-06T02:48:31.000"/>
    <m/>
    <m/>
    <m/>
    <n v="1"/>
    <n v="1"/>
    <n v="1"/>
    <n v="5"/>
    <n v="8.928571428571429"/>
    <n v="0"/>
    <n v="0"/>
    <n v="0"/>
    <n v="0"/>
    <n v="16"/>
    <n v="28.571428571428573"/>
    <n v="56"/>
  </r>
  <r>
    <s v="UCHZtSCW3ghRV7JG_hl-DnMQ"/>
    <s v="UC4EBLyv8FBuRC-OqRCBI1Ag"/>
    <s v="128, 128, 128"/>
    <n v="3"/>
    <m/>
    <n v="40"/>
    <m/>
    <m/>
    <m/>
    <m/>
    <s v="No"/>
    <n v="95"/>
    <m/>
    <m/>
    <s v="Commented Video"/>
    <x v="0"/>
    <s v="Thank you for putting up the video. Now we can all see how American media really is.  Had us thinking negative thoughts about africa. Its not civilized to lie american media."/>
    <s v="UCHZtSCW3ghRV7JG_hl-DnMQ"/>
    <s v="Freecourse Media"/>
    <s v="http://www.youtube.com/channel/UCHZtSCW3ghRV7JG_hl-DnMQ"/>
    <m/>
    <s v="OnEGLhO0ZkA"/>
    <s v="https://www.youtube.com/watch?v=OnEGLhO0ZkA"/>
    <s v="none"/>
    <n v="1"/>
    <x v="92"/>
    <d v="2019-10-06T02:50:12.000"/>
    <m/>
    <m/>
    <m/>
    <n v="1"/>
    <n v="1"/>
    <n v="1"/>
    <n v="0"/>
    <n v="0"/>
    <n v="2"/>
    <n v="6.451612903225806"/>
    <n v="0"/>
    <n v="0"/>
    <n v="8"/>
    <n v="25.806451612903224"/>
    <n v="31"/>
  </r>
  <r>
    <s v="UCbuBW2iv0g8nZ0DTdxIlhFA"/>
    <s v="UC4EBLyv8FBuRC-OqRCBI1Ag"/>
    <s v="128, 128, 128"/>
    <n v="3"/>
    <m/>
    <n v="40"/>
    <m/>
    <m/>
    <m/>
    <m/>
    <s v="No"/>
    <n v="96"/>
    <m/>
    <m/>
    <s v="Commented Video"/>
    <x v="0"/>
    <s v="Some comments on here SMH never happy"/>
    <s v="UCbuBW2iv0g8nZ0DTdxIlhFA"/>
    <s v="J M"/>
    <s v="http://www.youtube.com/channel/UCbuBW2iv0g8nZ0DTdxIlhFA"/>
    <m/>
    <s v="OnEGLhO0ZkA"/>
    <s v="https://www.youtube.com/watch?v=OnEGLhO0ZkA"/>
    <s v="none"/>
    <n v="0"/>
    <x v="93"/>
    <d v="2019-10-06T03:06:18.000"/>
    <m/>
    <m/>
    <m/>
    <n v="1"/>
    <n v="1"/>
    <n v="1"/>
    <n v="1"/>
    <n v="14.285714285714286"/>
    <n v="0"/>
    <n v="0"/>
    <n v="0"/>
    <n v="0"/>
    <n v="2"/>
    <n v="28.571428571428573"/>
    <n v="7"/>
  </r>
  <r>
    <s v="UCY130g5fSy_oh0AxxbgKe4g"/>
    <s v="UC4EBLyv8FBuRC-OqRCBI1Ag"/>
    <s v="128, 128, 128"/>
    <n v="3"/>
    <m/>
    <n v="40"/>
    <m/>
    <m/>
    <m/>
    <m/>
    <s v="No"/>
    <n v="97"/>
    <m/>
    <m/>
    <s v="Commented Video"/>
    <x v="0"/>
    <s v="All praises ...........................we are so happy to see high standard of services in the Gambia   ............thank you for bringing those information to us sister Juliet ...........Hallelu-Yah."/>
    <s v="UCY130g5fSy_oh0AxxbgKe4g"/>
    <s v="Hebrew Israelites"/>
    <s v="http://www.youtube.com/channel/UCY130g5fSy_oh0AxxbgKe4g"/>
    <m/>
    <s v="OnEGLhO0ZkA"/>
    <s v="https://www.youtube.com/watch?v=OnEGLhO0ZkA"/>
    <s v="none"/>
    <n v="0"/>
    <x v="94"/>
    <d v="2019-10-06T03:11:19.000"/>
    <m/>
    <m/>
    <m/>
    <n v="1"/>
    <n v="1"/>
    <n v="1"/>
    <n v="1"/>
    <n v="3.7037037037037037"/>
    <n v="0"/>
    <n v="0"/>
    <n v="0"/>
    <n v="0"/>
    <n v="11"/>
    <n v="40.74074074074074"/>
    <n v="27"/>
  </r>
  <r>
    <s v="UCfhJXlUiGqG-J4ERYY5cGTg"/>
    <s v="UC4EBLyv8FBuRC-OqRCBI1Ag"/>
    <s v="128, 128, 128"/>
    <n v="3"/>
    <m/>
    <n v="40"/>
    <m/>
    <m/>
    <m/>
    <m/>
    <s v="No"/>
    <n v="98"/>
    <m/>
    <m/>
    <s v="Commented Video"/>
    <x v="0"/>
    <s v="Great work Juliet. Keep spreading the word."/>
    <s v="UCfhJXlUiGqG-J4ERYY5cGTg"/>
    <s v="David Omigie"/>
    <s v="http://www.youtube.com/channel/UCfhJXlUiGqG-J4ERYY5cGTg"/>
    <m/>
    <s v="OnEGLhO0ZkA"/>
    <s v="https://www.youtube.com/watch?v=OnEGLhO0ZkA"/>
    <s v="none"/>
    <n v="0"/>
    <x v="95"/>
    <d v="2019-10-06T03:14:46.000"/>
    <m/>
    <m/>
    <m/>
    <n v="1"/>
    <n v="1"/>
    <n v="1"/>
    <n v="2"/>
    <n v="28.571428571428573"/>
    <n v="0"/>
    <n v="0"/>
    <n v="0"/>
    <n v="0"/>
    <n v="4"/>
    <n v="57.142857142857146"/>
    <n v="7"/>
  </r>
  <r>
    <s v="UCqOD5SDKQOk3gzU_qWyUPrw"/>
    <s v="UC4EBLyv8FBuRC-OqRCBI1Ag"/>
    <s v="128, 128, 128"/>
    <n v="3"/>
    <m/>
    <n v="40"/>
    <m/>
    <m/>
    <m/>
    <m/>
    <s v="No"/>
    <n v="99"/>
    <m/>
    <m/>
    <s v="Commented Video"/>
    <x v="0"/>
    <s v="Hit the like button  before watching"/>
    <s v="UCqOD5SDKQOk3gzU_qWyUPrw"/>
    <s v="Alpha Jallow"/>
    <s v="http://www.youtube.com/channel/UCqOD5SDKQOk3gzU_qWyUPrw"/>
    <m/>
    <s v="OnEGLhO0ZkA"/>
    <s v="https://www.youtube.com/watch?v=OnEGLhO0ZkA"/>
    <s v="none"/>
    <n v="0"/>
    <x v="96"/>
    <d v="2019-10-06T03:46:46.000"/>
    <m/>
    <m/>
    <m/>
    <n v="1"/>
    <n v="1"/>
    <n v="1"/>
    <n v="1"/>
    <n v="16.666666666666668"/>
    <n v="0"/>
    <n v="0"/>
    <n v="0"/>
    <n v="0"/>
    <n v="3"/>
    <n v="50"/>
    <n v="6"/>
  </r>
  <r>
    <s v="UCU6GIAzpLLQFzWCCqI_8SCQ"/>
    <s v="UC4EBLyv8FBuRC-OqRCBI1Ag"/>
    <s v="128, 128, 128"/>
    <n v="3"/>
    <m/>
    <n v="40"/>
    <m/>
    <m/>
    <m/>
    <m/>
    <s v="No"/>
    <n v="100"/>
    <m/>
    <m/>
    <s v="Commented Video"/>
    <x v="0"/>
    <s v="We Africans are great intelligent people. If only we could unit and love each other."/>
    <s v="UCU6GIAzpLLQFzWCCqI_8SCQ"/>
    <s v="Maali"/>
    <s v="http://www.youtube.com/channel/UCU6GIAzpLLQFzWCCqI_8SCQ"/>
    <m/>
    <s v="OnEGLhO0ZkA"/>
    <s v="https://www.youtube.com/watch?v=OnEGLhO0ZkA"/>
    <s v="none"/>
    <n v="1"/>
    <x v="97"/>
    <d v="2019-10-06T03:55:56.000"/>
    <m/>
    <m/>
    <m/>
    <n v="1"/>
    <n v="1"/>
    <n v="1"/>
    <n v="3"/>
    <n v="20"/>
    <n v="0"/>
    <n v="0"/>
    <n v="0"/>
    <n v="0"/>
    <n v="3"/>
    <n v="20"/>
    <n v="15"/>
  </r>
  <r>
    <s v="UCcW_9GEcSNRGLlnojavzWsQ"/>
    <s v="UC4EBLyv8FBuRC-OqRCBI1Ag"/>
    <s v="128, 128, 128"/>
    <n v="3"/>
    <m/>
    <n v="40"/>
    <m/>
    <m/>
    <m/>
    <m/>
    <s v="No"/>
    <n v="101"/>
    <m/>
    <m/>
    <s v="Commented Video"/>
    <x v="0"/>
    <s v="Hey Queen Africa :D This is a very good video :) Always nice to see you, Juliet :) &lt;br&gt;&lt;br&gt;Absolutely great work :) &lt;br&gt;&lt;br&gt;//East African brother in Sweden"/>
    <s v="UCcW_9GEcSNRGLlnojavzWsQ"/>
    <s v="CarpeDiem"/>
    <s v="http://www.youtube.com/channel/UCcW_9GEcSNRGLlnojavzWsQ"/>
    <m/>
    <s v="OnEGLhO0ZkA"/>
    <s v="https://www.youtube.com/watch?v=OnEGLhO0ZkA"/>
    <s v="none"/>
    <n v="0"/>
    <x v="98"/>
    <d v="2019-10-06T03:57:55.000"/>
    <m/>
    <m/>
    <m/>
    <n v="1"/>
    <n v="1"/>
    <n v="1"/>
    <n v="4"/>
    <n v="14.285714285714286"/>
    <n v="0"/>
    <n v="0"/>
    <n v="0"/>
    <n v="0"/>
    <n v="9"/>
    <n v="32.142857142857146"/>
    <n v="28"/>
  </r>
  <r>
    <s v="UCEjyeDvIkZ9gvyLeHNZerUw"/>
    <s v="UC4EBLyv8FBuRC-OqRCBI1Ag"/>
    <s v="128, 128, 128"/>
    <n v="3"/>
    <m/>
    <n v="40"/>
    <m/>
    <m/>
    <m/>
    <m/>
    <s v="No"/>
    <n v="102"/>
    <m/>
    <m/>
    <s v="Commented Video"/>
    <x v="0"/>
    <s v="I really love the content of your channel.  I am planning to move to the Gambia in the future. Thank you so much for giving such important information."/>
    <s v="UCEjyeDvIkZ9gvyLeHNZerUw"/>
    <s v="Ms.Thankful Always"/>
    <s v="http://www.youtube.com/channel/UCEjyeDvIkZ9gvyLeHNZerUw"/>
    <m/>
    <s v="OnEGLhO0ZkA"/>
    <s v="https://www.youtube.com/watch?v=OnEGLhO0ZkA"/>
    <s v="none"/>
    <n v="0"/>
    <x v="99"/>
    <d v="2019-10-06T04:05:22.000"/>
    <m/>
    <m/>
    <m/>
    <n v="1"/>
    <n v="1"/>
    <n v="1"/>
    <n v="2"/>
    <n v="7.142857142857143"/>
    <n v="0"/>
    <n v="0"/>
    <n v="0"/>
    <n v="0"/>
    <n v="5"/>
    <n v="17.857142857142858"/>
    <n v="28"/>
  </r>
  <r>
    <s v="UC69FYPrUTpRIql2_AVhebwA"/>
    <s v="UC4EBLyv8FBuRC-OqRCBI1Ag"/>
    <s v="128, 128, 128"/>
    <n v="3"/>
    <m/>
    <n v="40"/>
    <m/>
    <m/>
    <m/>
    <m/>
    <s v="No"/>
    <n v="103"/>
    <m/>
    <m/>
    <s v="Commented Video"/>
    <x v="0"/>
    <s v="Thanks again sis juliet.  My concern was sickle cell but it seems the clinic is more than up to speed when it comes to medical facilities and care. Its great that you listen to our needs . Family through snd through. Bless up sis."/>
    <s v="UC69FYPrUTpRIql2_AVhebwA"/>
    <s v="mass gussy"/>
    <s v="http://www.youtube.com/channel/UC69FYPrUTpRIql2_AVhebwA"/>
    <m/>
    <s v="OnEGLhO0ZkA"/>
    <s v="https://www.youtube.com/watch?v=OnEGLhO0ZkA"/>
    <s v="none"/>
    <n v="0"/>
    <x v="100"/>
    <d v="2019-10-06T04:11:39.000"/>
    <m/>
    <m/>
    <m/>
    <n v="1"/>
    <n v="1"/>
    <n v="1"/>
    <n v="2"/>
    <n v="4.651162790697675"/>
    <n v="1"/>
    <n v="2.3255813953488373"/>
    <n v="0"/>
    <n v="0"/>
    <n v="13"/>
    <n v="30.232558139534884"/>
    <n v="43"/>
  </r>
  <r>
    <s v="UCnD77H0YexgPR9VV0SN4izg"/>
    <s v="UC4EBLyv8FBuRC-OqRCBI1Ag"/>
    <s v="128, 128, 128"/>
    <n v="3"/>
    <m/>
    <n v="40"/>
    <m/>
    <m/>
    <m/>
    <m/>
    <s v="No"/>
    <n v="104"/>
    <m/>
    <m/>
    <s v="Commented Video"/>
    <x v="0"/>
    <s v="This is awesome hope our people with health care skills are watching storm the continent with your clinics you don’t have to work for someone forever"/>
    <s v="UCnD77H0YexgPR9VV0SN4izg"/>
    <s v="The BRIDGE 54"/>
    <s v="http://www.youtube.com/channel/UCnD77H0YexgPR9VV0SN4izg"/>
    <m/>
    <s v="OnEGLhO0ZkA"/>
    <s v="https://www.youtube.com/watch?v=OnEGLhO0ZkA"/>
    <s v="none"/>
    <n v="2"/>
    <x v="100"/>
    <d v="2019-10-06T04:11:39.000"/>
    <m/>
    <m/>
    <m/>
    <n v="1"/>
    <n v="1"/>
    <n v="1"/>
    <n v="2"/>
    <n v="7.407407407407407"/>
    <n v="0"/>
    <n v="0"/>
    <n v="0"/>
    <n v="0"/>
    <n v="9"/>
    <n v="33.333333333333336"/>
    <n v="27"/>
  </r>
  <r>
    <s v="UCGojjKra09WLZc28x_iynrQ"/>
    <s v="UC4EBLyv8FBuRC-OqRCBI1Ag"/>
    <s v="128, 128, 128"/>
    <n v="3"/>
    <m/>
    <n v="40"/>
    <m/>
    <m/>
    <m/>
    <m/>
    <s v="No"/>
    <n v="105"/>
    <m/>
    <m/>
    <s v="Commented Video"/>
    <x v="0"/>
    <s v="I like ur dress just like a mandingo woman"/>
    <s v="UCGojjKra09WLZc28x_iynrQ"/>
    <s v="j Miller"/>
    <s v="http://www.youtube.com/channel/UCGojjKra09WLZc28x_iynrQ"/>
    <m/>
    <s v="OnEGLhO0ZkA"/>
    <s v="https://www.youtube.com/watch?v=OnEGLhO0ZkA"/>
    <s v="none"/>
    <n v="4"/>
    <x v="101"/>
    <d v="2019-10-06T04:22:26.000"/>
    <m/>
    <m/>
    <m/>
    <n v="1"/>
    <n v="1"/>
    <n v="1"/>
    <n v="2"/>
    <n v="22.22222222222222"/>
    <n v="0"/>
    <n v="0"/>
    <n v="0"/>
    <n v="0"/>
    <n v="4"/>
    <n v="44.44444444444444"/>
    <n v="9"/>
  </r>
  <r>
    <s v="UClOtw2dELCrOWJhhtF4HJEg"/>
    <s v="UC4EBLyv8FBuRC-OqRCBI1Ag"/>
    <s v="128, 128, 128"/>
    <n v="3"/>
    <m/>
    <n v="40"/>
    <m/>
    <m/>
    <m/>
    <m/>
    <s v="No"/>
    <n v="106"/>
    <m/>
    <m/>
    <s v="Commented Video"/>
    <x v="0"/>
    <s v="I&amp;#39;ve been missing my family thanks Ryan"/>
    <s v="UClOtw2dELCrOWJhhtF4HJEg"/>
    <s v="Muleire &amp; sons investments limited"/>
    <s v="http://www.youtube.com/channel/UClOtw2dELCrOWJhhtF4HJEg"/>
    <m/>
    <s v="OnEGLhO0ZkA"/>
    <s v="https://www.youtube.com/watch?v=OnEGLhO0ZkA"/>
    <s v="none"/>
    <n v="1"/>
    <x v="102"/>
    <d v="2019-10-06T04:45:27.000"/>
    <m/>
    <m/>
    <m/>
    <n v="1"/>
    <n v="1"/>
    <n v="1"/>
    <n v="0"/>
    <n v="0"/>
    <n v="0"/>
    <n v="0"/>
    <n v="0"/>
    <n v="0"/>
    <n v="4"/>
    <n v="44.44444444444444"/>
    <n v="9"/>
  </r>
  <r>
    <s v="UCWnOoFnOrYODGSSxnImeuCA"/>
    <s v="UC4EBLyv8FBuRC-OqRCBI1Ag"/>
    <s v="128, 128, 128"/>
    <n v="3"/>
    <m/>
    <n v="40"/>
    <m/>
    <m/>
    <m/>
    <m/>
    <s v="No"/>
    <n v="107"/>
    <m/>
    <m/>
    <s v="Commented Video"/>
    <x v="0"/>
    <s v="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
    <s v="UCWnOoFnOrYODGSSxnImeuCA"/>
    <s v="TEEJAY"/>
    <s v="http://www.youtube.com/channel/UCWnOoFnOrYODGSSxnImeuCA"/>
    <m/>
    <s v="OnEGLhO0ZkA"/>
    <s v="https://www.youtube.com/watch?v=OnEGLhO0ZkA"/>
    <s v="none"/>
    <n v="0"/>
    <x v="103"/>
    <d v="2019-10-06T05:16:27.000"/>
    <m/>
    <m/>
    <m/>
    <n v="1"/>
    <n v="1"/>
    <n v="1"/>
    <n v="4"/>
    <n v="4.938271604938271"/>
    <n v="4"/>
    <n v="4.938271604938271"/>
    <n v="0"/>
    <n v="0"/>
    <n v="16"/>
    <n v="19.753086419753085"/>
    <n v="81"/>
  </r>
  <r>
    <s v="UCIHYPsgrsRcDrK0rKDQYpBA"/>
    <s v="UC4EBLyv8FBuRC-OqRCBI1Ag"/>
    <s v="128, 128, 128"/>
    <n v="3"/>
    <m/>
    <n v="40"/>
    <m/>
    <m/>
    <m/>
    <m/>
    <s v="No"/>
    <n v="108"/>
    <m/>
    <m/>
    <s v="Commented Video"/>
    <x v="0"/>
    <s v="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
    <s v="UCIHYPsgrsRcDrK0rKDQYpBA"/>
    <s v="Quirx 1701"/>
    <s v="http://www.youtube.com/channel/UCIHYPsgrsRcDrK0rKDQYpBA"/>
    <m/>
    <s v="OnEGLhO0ZkA"/>
    <s v="https://www.youtube.com/watch?v=OnEGLhO0ZkA"/>
    <s v="none"/>
    <n v="4"/>
    <x v="104"/>
    <d v="2019-10-06T05:19:10.000"/>
    <m/>
    <m/>
    <m/>
    <n v="1"/>
    <n v="1"/>
    <n v="1"/>
    <n v="2"/>
    <n v="3.125"/>
    <n v="0"/>
    <n v="0"/>
    <n v="0"/>
    <n v="0"/>
    <n v="13"/>
    <n v="20.3125"/>
    <n v="64"/>
  </r>
  <r>
    <s v="UCcqxoFOjYOOHcJg5wiMv0GQ"/>
    <s v="UC4EBLyv8FBuRC-OqRCBI1Ag"/>
    <s v="128, 128, 128"/>
    <n v="3"/>
    <m/>
    <n v="40"/>
    <m/>
    <m/>
    <m/>
    <m/>
    <s v="No"/>
    <n v="109"/>
    <m/>
    <m/>
    <s v="Commented Video"/>
    <x v="0"/>
    <s v="Paul Gomez? 😕&lt;br&gt; The originality in Africans...yeah! 😁"/>
    <s v="UCcqxoFOjYOOHcJg5wiMv0GQ"/>
    <s v="ola dapo"/>
    <s v="http://www.youtube.com/channel/UCcqxoFOjYOOHcJg5wiMv0GQ"/>
    <m/>
    <s v="OnEGLhO0ZkA"/>
    <s v="https://www.youtube.com/watch?v=OnEGLhO0ZkA"/>
    <s v="none"/>
    <n v="1"/>
    <x v="105"/>
    <d v="2019-10-06T05:24:50.000"/>
    <m/>
    <m/>
    <m/>
    <n v="1"/>
    <n v="1"/>
    <n v="1"/>
    <n v="1"/>
    <n v="12.5"/>
    <n v="0"/>
    <n v="0"/>
    <n v="0"/>
    <n v="0"/>
    <n v="4"/>
    <n v="50"/>
    <n v="8"/>
  </r>
  <r>
    <s v="UCtp5mQQN5HoE6f4Wx0A3ZOA"/>
    <s v="UC4EBLyv8FBuRC-OqRCBI1Ag"/>
    <s v="128, 128, 128"/>
    <n v="3"/>
    <m/>
    <n v="40"/>
    <m/>
    <m/>
    <m/>
    <m/>
    <s v="No"/>
    <n v="110"/>
    <m/>
    <m/>
    <s v="Commented Video"/>
    <x v="0"/>
    <s v="Everybody sick in th UK hence the long wait when you go hospital &lt;a href=&quot;http://www.youtube.com/results?search_query=%23healinginafrika&quot;&gt;#healinginafrika&lt;/a&gt;"/>
    <s v="UCtp5mQQN5HoE6f4Wx0A3ZOA"/>
    <s v="Basira Gate"/>
    <s v="http://www.youtube.com/channel/UCtp5mQQN5HoE6f4Wx0A3ZOA"/>
    <m/>
    <s v="OnEGLhO0ZkA"/>
    <s v="https://www.youtube.com/watch?v=OnEGLhO0ZkA"/>
    <s v="none"/>
    <n v="3"/>
    <x v="106"/>
    <d v="2019-10-06T06:21:14.000"/>
    <s v="http://www.youtube.com/results?search_query=%23healinginafrika"/>
    <s v="youtube.com"/>
    <m/>
    <n v="1"/>
    <n v="1"/>
    <n v="1"/>
    <n v="0"/>
    <n v="0"/>
    <n v="1"/>
    <n v="4.166666666666667"/>
    <n v="0"/>
    <n v="0"/>
    <n v="9"/>
    <n v="37.5"/>
    <n v="24"/>
  </r>
  <r>
    <s v="UCaNilsIXHf0nO8Q5QCEukNw"/>
    <s v="UC4EBLyv8FBuRC-OqRCBI1Ag"/>
    <s v="128, 128, 128"/>
    <n v="3"/>
    <m/>
    <n v="40"/>
    <m/>
    <m/>
    <m/>
    <m/>
    <s v="No"/>
    <n v="111"/>
    <m/>
    <m/>
    <s v="Commented Video"/>
    <x v="0"/>
    <s v="Thanks for shining the light on The Gambia and answering questions with proof rather than words only. You are doing a great thing for people all over the world by obliterating the myths of Africa. THIS is AFRICA❤"/>
    <s v="UCaNilsIXHf0nO8Q5QCEukNw"/>
    <s v="The Lioness’s Den"/>
    <s v="http://www.youtube.com/channel/UCaNilsIXHf0nO8Q5QCEukNw"/>
    <m/>
    <s v="OnEGLhO0ZkA"/>
    <s v="https://www.youtube.com/watch?v=OnEGLhO0ZkA"/>
    <s v="none"/>
    <n v="1"/>
    <x v="107"/>
    <d v="2019-10-06T06:38:53.000"/>
    <m/>
    <m/>
    <m/>
    <n v="1"/>
    <n v="1"/>
    <n v="1"/>
    <n v="1"/>
    <n v="2.6315789473684212"/>
    <n v="0"/>
    <n v="0"/>
    <n v="0"/>
    <n v="0"/>
    <n v="14"/>
    <n v="36.8421052631579"/>
    <n v="38"/>
  </r>
  <r>
    <s v="UCPnaVjGWd2ekpKUesS_wSuw"/>
    <s v="UC4EBLyv8FBuRC-OqRCBI1Ag"/>
    <s v="128, 128, 128"/>
    <n v="3"/>
    <m/>
    <n v="40"/>
    <m/>
    <m/>
    <m/>
    <m/>
    <s v="No"/>
    <n v="112"/>
    <m/>
    <m/>
    <s v="Commented Video"/>
    <x v="0"/>
    <s v="Yes !💜The Gambia has great clinics and great medical staffs my husband Buba S is the nursing supervisor for Hands-On care in The Gambia...when I got sick these people took very good care of me. They actually have nurses that make house calls! 💜I love the Gambia🌍"/>
    <s v="UCPnaVjGWd2ekpKUesS_wSuw"/>
    <s v="D.S. NubiYAH"/>
    <s v="http://www.youtube.com/channel/UCPnaVjGWd2ekpKUesS_wSuw"/>
    <m/>
    <s v="OnEGLhO0ZkA"/>
    <s v="https://www.youtube.com/watch?v=OnEGLhO0ZkA"/>
    <s v="none"/>
    <n v="7"/>
    <x v="108"/>
    <d v="2019-10-06T07:03:16.000"/>
    <m/>
    <m/>
    <m/>
    <n v="1"/>
    <n v="1"/>
    <n v="1"/>
    <n v="4"/>
    <n v="8.16326530612245"/>
    <n v="1"/>
    <n v="2.0408163265306123"/>
    <n v="0"/>
    <n v="0"/>
    <n v="17"/>
    <n v="34.69387755102041"/>
    <n v="49"/>
  </r>
  <r>
    <s v="UCLnBwkuJ2MEgNjpDe9sPD6w"/>
    <s v="UC4EBLyv8FBuRC-OqRCBI1Ag"/>
    <s v="128, 128, 128"/>
    <n v="3"/>
    <m/>
    <n v="40"/>
    <m/>
    <m/>
    <m/>
    <m/>
    <s v="No"/>
    <n v="113"/>
    <m/>
    <m/>
    <s v="Commented Video"/>
    <x v="0"/>
    <s v="Very nice facility 👏🏾"/>
    <s v="UCLnBwkuJ2MEgNjpDe9sPD6w"/>
    <s v="S. P."/>
    <s v="http://www.youtube.com/channel/UCLnBwkuJ2MEgNjpDe9sPD6w"/>
    <m/>
    <s v="OnEGLhO0ZkA"/>
    <s v="https://www.youtube.com/watch?v=OnEGLhO0ZkA"/>
    <s v="none"/>
    <n v="1"/>
    <x v="109"/>
    <d v="2019-10-06T07:24:48.000"/>
    <m/>
    <m/>
    <m/>
    <n v="1"/>
    <n v="1"/>
    <n v="1"/>
    <n v="1"/>
    <n v="33.333333333333336"/>
    <n v="0"/>
    <n v="0"/>
    <n v="0"/>
    <n v="0"/>
    <n v="1"/>
    <n v="33.333333333333336"/>
    <n v="3"/>
  </r>
  <r>
    <s v="UCgETU6S0dQmJyWePbdoh4kA"/>
    <s v="UC4EBLyv8FBuRC-OqRCBI1Ag"/>
    <s v="128, 128, 128"/>
    <n v="3"/>
    <m/>
    <n v="40"/>
    <m/>
    <m/>
    <m/>
    <m/>
    <s v="No"/>
    <n v="114"/>
    <m/>
    <m/>
    <s v="Commented Video"/>
    <x v="0"/>
    <s v="Thank you juliet❤️"/>
    <s v="UCgETU6S0dQmJyWePbdoh4kA"/>
    <s v="mrp&amp;c"/>
    <s v="http://www.youtube.com/channel/UCgETU6S0dQmJyWePbdoh4kA"/>
    <m/>
    <s v="OnEGLhO0ZkA"/>
    <s v="https://www.youtube.com/watch?v=OnEGLhO0ZkA"/>
    <s v="none"/>
    <n v="1"/>
    <x v="110"/>
    <d v="2019-10-06T07:25:38.000"/>
    <m/>
    <m/>
    <m/>
    <n v="1"/>
    <n v="1"/>
    <n v="1"/>
    <n v="0"/>
    <n v="0"/>
    <n v="0"/>
    <n v="0"/>
    <n v="0"/>
    <n v="0"/>
    <n v="1"/>
    <n v="33.333333333333336"/>
    <n v="3"/>
  </r>
  <r>
    <s v="UCj8cTpfZlegheWKAFZ-M6pg"/>
    <s v="UC4EBLyv8FBuRC-OqRCBI1Ag"/>
    <s v="128, 128, 128"/>
    <n v="3"/>
    <m/>
    <n v="40"/>
    <m/>
    <m/>
    <m/>
    <m/>
    <s v="No"/>
    <n v="115"/>
    <m/>
    <m/>
    <s v="Commented Video"/>
    <x v="0"/>
    <s v="See,  now we getting deep. 🙌🏿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
    <s v="UCj8cTpfZlegheWKAFZ-M6pg"/>
    <s v="Christine Rose"/>
    <s v="http://www.youtube.com/channel/UCj8cTpfZlegheWKAFZ-M6pg"/>
    <m/>
    <s v="OnEGLhO0ZkA"/>
    <s v="https://www.youtube.com/watch?v=OnEGLhO0ZkA"/>
    <s v="none"/>
    <n v="0"/>
    <x v="111"/>
    <d v="2019-10-06T07:38:08.000"/>
    <m/>
    <m/>
    <m/>
    <n v="1"/>
    <n v="1"/>
    <n v="1"/>
    <n v="1"/>
    <n v="1.4492753623188406"/>
    <n v="2"/>
    <n v="2.898550724637681"/>
    <n v="0"/>
    <n v="0"/>
    <n v="16"/>
    <n v="23.18840579710145"/>
    <n v="69"/>
  </r>
  <r>
    <s v="UCjtvdNVtO1Uqs_onUo3qUSw"/>
    <s v="UC4EBLyv8FBuRC-OqRCBI1Ag"/>
    <s v="128, 128, 128"/>
    <n v="3"/>
    <m/>
    <n v="40"/>
    <m/>
    <m/>
    <m/>
    <m/>
    <s v="No"/>
    <n v="116"/>
    <m/>
    <m/>
    <s v="Commented Video"/>
    <x v="0"/>
    <s v="Love the Gambia Julia you are influencing me to change some of my returnee plans...lol"/>
    <s v="UCjtvdNVtO1Uqs_onUo3qUSw"/>
    <s v="mimi bon"/>
    <s v="http://www.youtube.com/channel/UCjtvdNVtO1Uqs_onUo3qUSw"/>
    <m/>
    <s v="OnEGLhO0ZkA"/>
    <s v="https://www.youtube.com/watch?v=OnEGLhO0ZkA"/>
    <s v="none"/>
    <n v="1"/>
    <x v="112"/>
    <d v="2019-10-06T09:45:14.000"/>
    <m/>
    <m/>
    <m/>
    <n v="1"/>
    <n v="1"/>
    <n v="1"/>
    <n v="1"/>
    <n v="6.25"/>
    <n v="0"/>
    <n v="0"/>
    <n v="0"/>
    <n v="0"/>
    <n v="7"/>
    <n v="43.75"/>
    <n v="16"/>
  </r>
  <r>
    <s v="UCumqm7IRDZvBuJWMwt5x-xw"/>
    <s v="UC4EBLyv8FBuRC-OqRCBI1Ag"/>
    <s v="128, 128, 128"/>
    <n v="3"/>
    <m/>
    <n v="40"/>
    <m/>
    <m/>
    <m/>
    <m/>
    <s v="No"/>
    <n v="117"/>
    <m/>
    <m/>
    <s v="Commented Video"/>
    <x v="0"/>
    <s v="Friendly people"/>
    <s v="UCumqm7IRDZvBuJWMwt5x-xw"/>
    <s v="Francois Etienne"/>
    <s v="http://www.youtube.com/channel/UCumqm7IRDZvBuJWMwt5x-xw"/>
    <m/>
    <s v="OnEGLhO0ZkA"/>
    <s v="https://www.youtube.com/watch?v=OnEGLhO0ZkA"/>
    <s v="none"/>
    <n v="1"/>
    <x v="113"/>
    <d v="2019-10-06T10:03:19.000"/>
    <m/>
    <m/>
    <m/>
    <n v="1"/>
    <n v="1"/>
    <n v="1"/>
    <n v="1"/>
    <n v="50"/>
    <n v="0"/>
    <n v="0"/>
    <n v="0"/>
    <n v="0"/>
    <n v="1"/>
    <n v="50"/>
    <n v="2"/>
  </r>
  <r>
    <s v="UCqmzrUyTOODhZZny-yyYxWg"/>
    <s v="UC4EBLyv8FBuRC-OqRCBI1Ag"/>
    <s v="128, 128, 128"/>
    <n v="3"/>
    <m/>
    <n v="40"/>
    <m/>
    <m/>
    <m/>
    <m/>
    <s v="No"/>
    <n v="118"/>
    <m/>
    <m/>
    <s v="Commented Video"/>
    <x v="0"/>
    <s v="just happy to see all the doctors are black for the first time"/>
    <s v="UCqmzrUyTOODhZZny-yyYxWg"/>
    <s v="JP 17"/>
    <s v="http://www.youtube.com/channel/UCqmzrUyTOODhZZny-yyYxWg"/>
    <m/>
    <s v="OnEGLhO0ZkA"/>
    <s v="https://www.youtube.com/watch?v=OnEGLhO0ZkA"/>
    <s v="none"/>
    <n v="4"/>
    <x v="114"/>
    <d v="2019-10-06T11:32:35.000"/>
    <m/>
    <m/>
    <m/>
    <n v="1"/>
    <n v="1"/>
    <n v="1"/>
    <n v="1"/>
    <n v="7.6923076923076925"/>
    <n v="0"/>
    <n v="0"/>
    <n v="0"/>
    <n v="0"/>
    <n v="3"/>
    <n v="23.076923076923077"/>
    <n v="13"/>
  </r>
  <r>
    <s v="UCtHt_3e9Et7a0OzBsOCd_Jg"/>
    <s v="UC4EBLyv8FBuRC-OqRCBI1Ag"/>
    <s v="128, 128, 128"/>
    <n v="3"/>
    <m/>
    <n v="40"/>
    <m/>
    <m/>
    <m/>
    <m/>
    <s v="No"/>
    <n v="119"/>
    <m/>
    <m/>
    <s v="Commented Video"/>
    <x v="0"/>
    <s v="👨🏿‍🔬👩🏿‍🔬🥼&lt;br&gt;👍🏿👍🏿&lt;br&gt;✊🏿✌🏿&lt;br&gt;Empathy...&lt;br&gt;🤴🏿"/>
    <s v="UCtHt_3e9Et7a0OzBsOCd_Jg"/>
    <s v="B-Town CHILL"/>
    <s v="http://www.youtube.com/channel/UCtHt_3e9Et7a0OzBsOCd_Jg"/>
    <m/>
    <s v="OnEGLhO0ZkA"/>
    <s v="https://www.youtube.com/watch?v=OnEGLhO0ZkA"/>
    <s v="none"/>
    <n v="1"/>
    <x v="115"/>
    <d v="2019-10-06T12:26:18.000"/>
    <m/>
    <m/>
    <m/>
    <n v="1"/>
    <n v="1"/>
    <n v="1"/>
    <n v="1"/>
    <n v="20"/>
    <n v="0"/>
    <n v="0"/>
    <n v="0"/>
    <n v="0"/>
    <n v="0"/>
    <n v="0"/>
    <n v="5"/>
  </r>
  <r>
    <s v="UCdl-KU6TwCmyK8wkyNLVF_w"/>
    <s v="UC4EBLyv8FBuRC-OqRCBI1Ag"/>
    <s v="128, 128, 128"/>
    <n v="3"/>
    <m/>
    <n v="40"/>
    <m/>
    <m/>
    <m/>
    <m/>
    <s v="No"/>
    <n v="120"/>
    <m/>
    <m/>
    <s v="Commented Video"/>
    <x v="0"/>
    <s v="Great video 🙏🙏thanks"/>
    <s v="UCdl-KU6TwCmyK8wkyNLVF_w"/>
    <s v="Mabintou Kamara"/>
    <s v="http://www.youtube.com/channel/UCdl-KU6TwCmyK8wkyNLVF_w"/>
    <m/>
    <s v="OnEGLhO0ZkA"/>
    <s v="https://www.youtube.com/watch?v=OnEGLhO0ZkA"/>
    <s v="none"/>
    <n v="0"/>
    <x v="116"/>
    <d v="2019-10-06T13:16:05.000"/>
    <m/>
    <m/>
    <m/>
    <n v="1"/>
    <n v="1"/>
    <n v="1"/>
    <n v="1"/>
    <n v="33.333333333333336"/>
    <n v="0"/>
    <n v="0"/>
    <n v="0"/>
    <n v="0"/>
    <n v="0"/>
    <n v="0"/>
    <n v="3"/>
  </r>
  <r>
    <s v="UC8W62yD4KJ8tF8U7zy55d_g"/>
    <s v="UC4EBLyv8FBuRC-OqRCBI1Ag"/>
    <s v="128, 128, 128"/>
    <n v="3"/>
    <m/>
    <n v="40"/>
    <m/>
    <m/>
    <m/>
    <m/>
    <s v="No"/>
    <n v="121"/>
    <m/>
    <m/>
    <s v="Commented Video"/>
    <x v="0"/>
    <s v="Your dress is lovely so are you."/>
    <s v="UC8W62yD4KJ8tF8U7zy55d_g"/>
    <s v="PAULNE UGBIYOBO"/>
    <s v="http://www.youtube.com/channel/UC8W62yD4KJ8tF8U7zy55d_g"/>
    <m/>
    <s v="OnEGLhO0ZkA"/>
    <s v="https://www.youtube.com/watch?v=OnEGLhO0ZkA"/>
    <s v="none"/>
    <n v="0"/>
    <x v="117"/>
    <d v="2019-10-06T14:02:57.000"/>
    <m/>
    <m/>
    <m/>
    <n v="1"/>
    <n v="1"/>
    <n v="1"/>
    <n v="1"/>
    <n v="14.285714285714286"/>
    <n v="0"/>
    <n v="0"/>
    <n v="0"/>
    <n v="0"/>
    <n v="1"/>
    <n v="14.285714285714286"/>
    <n v="7"/>
  </r>
  <r>
    <s v="UCeRXGLLtH8R3jiwTx4QMePQ"/>
    <s v="UC4EBLyv8FBuRC-OqRCBI1Ag"/>
    <s v="128, 128, 128"/>
    <n v="3"/>
    <m/>
    <n v="40"/>
    <m/>
    <m/>
    <m/>
    <m/>
    <s v="No"/>
    <n v="122"/>
    <m/>
    <m/>
    <s v="Commented Video"/>
    <x v="0"/>
    <s v="a beautiful country Gambia un dia ganareis la copa de afri k muy disciplinados los futbolistas de este precioso pais"/>
    <s v="UCeRXGLLtH8R3jiwTx4QMePQ"/>
    <s v="Jose Luis Maguga"/>
    <s v="http://www.youtube.com/channel/UCeRXGLLtH8R3jiwTx4QMePQ"/>
    <m/>
    <s v="OnEGLhO0ZkA"/>
    <s v="https://www.youtube.com/watch?v=OnEGLhO0ZkA"/>
    <s v="none"/>
    <n v="2"/>
    <x v="118"/>
    <d v="2019-10-06T14:49:13.000"/>
    <m/>
    <m/>
    <m/>
    <n v="1"/>
    <n v="1"/>
    <n v="1"/>
    <n v="1"/>
    <n v="5"/>
    <n v="0"/>
    <n v="0"/>
    <n v="0"/>
    <n v="0"/>
    <n v="10"/>
    <n v="50"/>
    <n v="20"/>
  </r>
  <r>
    <s v="UCrNm7Y0iwXHwsQATSjiHCRg"/>
    <s v="UC4EBLyv8FBuRC-OqRCBI1Ag"/>
    <s v="128, 128, 128"/>
    <n v="3"/>
    <m/>
    <n v="40"/>
    <m/>
    <m/>
    <m/>
    <m/>
    <s v="No"/>
    <n v="123"/>
    <m/>
    <m/>
    <s v="Commented Video"/>
    <x v="0"/>
    <s v="Do they need Respiratory Therapist??   If so, I&amp;#39;m packing my bags today!"/>
    <s v="UCrNm7Y0iwXHwsQATSjiHCRg"/>
    <s v="Mark Leeper"/>
    <s v="http://www.youtube.com/channel/UCrNm7Y0iwXHwsQATSjiHCRg"/>
    <m/>
    <s v="OnEGLhO0ZkA"/>
    <s v="https://www.youtube.com/watch?v=OnEGLhO0ZkA"/>
    <s v="none"/>
    <n v="1"/>
    <x v="119"/>
    <d v="2019-10-06T15:08:52.000"/>
    <m/>
    <m/>
    <m/>
    <n v="1"/>
    <n v="1"/>
    <n v="1"/>
    <n v="0"/>
    <n v="0"/>
    <n v="0"/>
    <n v="0"/>
    <n v="0"/>
    <n v="0"/>
    <n v="4"/>
    <n v="28.571428571428573"/>
    <n v="14"/>
  </r>
  <r>
    <s v="UCyKikC5yhzTXZvVk0VW4cRg"/>
    <s v="UC4EBLyv8FBuRC-OqRCBI1Ag"/>
    <s v="128, 128, 128"/>
    <n v="3"/>
    <m/>
    <n v="40"/>
    <m/>
    <m/>
    <m/>
    <m/>
    <s v="No"/>
    <n v="124"/>
    <m/>
    <m/>
    <s v="Commented Video"/>
    <x v="0"/>
    <s v="Great Video Juliet Very Informative."/>
    <s v="UCyKikC5yhzTXZvVk0VW4cRg"/>
    <s v="Paul Asige"/>
    <s v="http://www.youtube.com/channel/UCyKikC5yhzTXZvVk0VW4cRg"/>
    <m/>
    <s v="OnEGLhO0ZkA"/>
    <s v="https://www.youtube.com/watch?v=OnEGLhO0ZkA"/>
    <s v="none"/>
    <n v="1"/>
    <x v="120"/>
    <d v="2019-10-06T15:40:23.000"/>
    <m/>
    <m/>
    <m/>
    <n v="1"/>
    <n v="1"/>
    <n v="1"/>
    <n v="1"/>
    <n v="20"/>
    <n v="0"/>
    <n v="0"/>
    <n v="0"/>
    <n v="0"/>
    <n v="2"/>
    <n v="40"/>
    <n v="5"/>
  </r>
  <r>
    <s v="UCbWVBsrodqC1H8TJp3GjiXA"/>
    <s v="UC4EBLyv8FBuRC-OqRCBI1Ag"/>
    <s v="128, 128, 128"/>
    <n v="3"/>
    <m/>
    <n v="40"/>
    <m/>
    <m/>
    <m/>
    <m/>
    <s v="No"/>
    <n v="125"/>
    <m/>
    <m/>
    <s v="Commented Video"/>
    <x v="0"/>
    <s v="Ambassador Jules😘😘😘"/>
    <s v="UCbWVBsrodqC1H8TJp3GjiXA"/>
    <s v="Nonsikelelo Siso"/>
    <s v="http://www.youtube.com/channel/UCbWVBsrodqC1H8TJp3GjiXA"/>
    <m/>
    <s v="OnEGLhO0ZkA"/>
    <s v="https://www.youtube.com/watch?v=OnEGLhO0ZkA"/>
    <s v="none"/>
    <n v="0"/>
    <x v="121"/>
    <d v="2019-10-06T17:29:19.000"/>
    <m/>
    <m/>
    <m/>
    <n v="1"/>
    <n v="1"/>
    <n v="1"/>
    <n v="0"/>
    <n v="0"/>
    <n v="0"/>
    <n v="0"/>
    <n v="0"/>
    <n v="0"/>
    <n v="2"/>
    <n v="100"/>
    <n v="2"/>
  </r>
  <r>
    <s v="UC5WTOypNmrJictESxhQ9fGQ"/>
    <s v="UC4EBLyv8FBuRC-OqRCBI1Ag"/>
    <s v="128, 128, 128"/>
    <n v="3"/>
    <m/>
    <n v="40"/>
    <m/>
    <m/>
    <m/>
    <m/>
    <s v="No"/>
    <n v="126"/>
    <m/>
    <m/>
    <s v="Commented Video"/>
    <x v="0"/>
    <s v="I ❤ Gambia 🇬🇲🇬🇲🇬🇲💪🏾💪🏾💪🏾"/>
    <s v="UC5WTOypNmrJictESxhQ9fGQ"/>
    <s v="ABDULIE JALLOW"/>
    <s v="http://www.youtube.com/channel/UC5WTOypNmrJictESxhQ9fGQ"/>
    <m/>
    <s v="OnEGLhO0ZkA"/>
    <s v="https://www.youtube.com/watch?v=OnEGLhO0ZkA"/>
    <s v="none"/>
    <n v="1"/>
    <x v="122"/>
    <d v="2019-10-06T17:32:25.000"/>
    <m/>
    <m/>
    <m/>
    <n v="1"/>
    <n v="1"/>
    <n v="1"/>
    <n v="0"/>
    <n v="0"/>
    <n v="0"/>
    <n v="0"/>
    <n v="0"/>
    <n v="0"/>
    <n v="1"/>
    <n v="50"/>
    <n v="2"/>
  </r>
  <r>
    <s v="UCPU4FlfeDnW7IRkKoCQyjyQ"/>
    <s v="UC4EBLyv8FBuRC-OqRCBI1Ag"/>
    <s v="128, 128, 128"/>
    <n v="3"/>
    <m/>
    <n v="40"/>
    <m/>
    <m/>
    <m/>
    <m/>
    <s v="No"/>
    <n v="127"/>
    <m/>
    <m/>
    <s v="Commented Video"/>
    <x v="0"/>
    <s v="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
    <s v="UCPU4FlfeDnW7IRkKoCQyjyQ"/>
    <s v="Reachin Nirvana"/>
    <s v="http://www.youtube.com/channel/UCPU4FlfeDnW7IRkKoCQyjyQ"/>
    <m/>
    <s v="OnEGLhO0ZkA"/>
    <s v="https://www.youtube.com/watch?v=OnEGLhO0ZkA"/>
    <s v="none"/>
    <n v="0"/>
    <x v="123"/>
    <d v="2019-10-06T18:40:55.000"/>
    <m/>
    <m/>
    <m/>
    <n v="1"/>
    <n v="1"/>
    <n v="1"/>
    <n v="6"/>
    <n v="5.882352941176471"/>
    <n v="3"/>
    <n v="2.9411764705882355"/>
    <n v="0"/>
    <n v="0"/>
    <n v="27"/>
    <n v="26.470588235294116"/>
    <n v="102"/>
  </r>
  <r>
    <s v="UCIQeNXIAIs4AEGN64C0KK0w"/>
    <s v="UC4EBLyv8FBuRC-OqRCBI1Ag"/>
    <s v="128, 128, 128"/>
    <n v="3"/>
    <m/>
    <n v="40"/>
    <m/>
    <m/>
    <m/>
    <m/>
    <s v="No"/>
    <n v="128"/>
    <m/>
    <m/>
    <s v="Commented Video"/>
    <x v="0"/>
    <s v="Good info.......Bla xit family God bless ur family. Lookin forward TO donate TO ur channel peace n blessi......👍"/>
    <s v="UCIQeNXIAIs4AEGN64C0KK0w"/>
    <s v="Mohamed Bangura"/>
    <s v="http://www.youtube.com/channel/UCIQeNXIAIs4AEGN64C0KK0w"/>
    <m/>
    <s v="OnEGLhO0ZkA"/>
    <s v="https://www.youtube.com/watch?v=OnEGLhO0ZkA"/>
    <s v="none"/>
    <n v="1"/>
    <x v="124"/>
    <d v="2019-10-06T21:37:39.000"/>
    <m/>
    <m/>
    <m/>
    <n v="1"/>
    <n v="1"/>
    <n v="1"/>
    <n v="3"/>
    <n v="15.789473684210526"/>
    <n v="0"/>
    <n v="0"/>
    <n v="0"/>
    <n v="0"/>
    <n v="11"/>
    <n v="57.89473684210526"/>
    <n v="19"/>
  </r>
  <r>
    <s v="UCMTBIObLI9rZtgssGTqo-vw"/>
    <s v="UC4EBLyv8FBuRC-OqRCBI1Ag"/>
    <s v="196, 59, 59"/>
    <n v="3"/>
    <m/>
    <n v="40"/>
    <m/>
    <m/>
    <m/>
    <m/>
    <s v="No"/>
    <n v="129"/>
    <m/>
    <m/>
    <s v="Commented Video"/>
    <x v="0"/>
    <s v="Please drop info for Nurses, Physician Assistant and Doctors who may be interested in volunteering in this clinic, other clinics/hospitals and how they can open and register private clinics and hospitals. Thanks"/>
    <s v="UCMTBIObLI9rZtgssGTqo-vw"/>
    <s v="Abraham kowo"/>
    <s v="http://www.youtube.com/channel/UCMTBIObLI9rZtgssGTqo-vw"/>
    <m/>
    <s v="OnEGLhO0ZkA"/>
    <s v="https://www.youtube.com/watch?v=OnEGLhO0ZkA"/>
    <s v="none"/>
    <n v="4"/>
    <x v="125"/>
    <d v="2019-10-07T00:23:53.000"/>
    <m/>
    <m/>
    <m/>
    <n v="9"/>
    <n v="1"/>
    <n v="1"/>
    <n v="0"/>
    <n v="0"/>
    <n v="0"/>
    <n v="0"/>
    <n v="0"/>
    <n v="0"/>
    <n v="16"/>
    <n v="48.484848484848484"/>
    <n v="33"/>
  </r>
  <r>
    <s v="UC7p6T0RX4u_Wqw_3Hl-sgaA"/>
    <s v="UC4EBLyv8FBuRC-OqRCBI1Ag"/>
    <s v="128, 128, 128"/>
    <n v="3"/>
    <m/>
    <n v="40"/>
    <m/>
    <m/>
    <m/>
    <m/>
    <s v="No"/>
    <n v="130"/>
    <m/>
    <m/>
    <s v="Commented Video"/>
    <x v="0"/>
    <s v="Just loved it. God is saying arise and shine my first born child Africa"/>
    <s v="UC7p6T0RX4u_Wqw_3Hl-sgaA"/>
    <s v="UBIA TV"/>
    <s v="http://www.youtube.com/channel/UC7p6T0RX4u_Wqw_3Hl-sgaA"/>
    <m/>
    <s v="OnEGLhO0ZkA"/>
    <s v="https://www.youtube.com/watch?v=OnEGLhO0ZkA"/>
    <s v="none"/>
    <n v="6"/>
    <x v="126"/>
    <d v="2019-10-07T00:46:52.000"/>
    <m/>
    <m/>
    <m/>
    <n v="1"/>
    <n v="1"/>
    <n v="1"/>
    <n v="2"/>
    <n v="14.285714285714286"/>
    <n v="0"/>
    <n v="0"/>
    <n v="0"/>
    <n v="0"/>
    <n v="4"/>
    <n v="28.571428571428573"/>
    <n v="14"/>
  </r>
  <r>
    <s v="UCX-rsu7tL2MC2rXtP06PuZA"/>
    <s v="UC4EBLyv8FBuRC-OqRCBI1Ag"/>
    <s v="128, 128, 128"/>
    <n v="3"/>
    <m/>
    <n v="40"/>
    <m/>
    <m/>
    <m/>
    <m/>
    <s v="No"/>
    <n v="131"/>
    <m/>
    <m/>
    <s v="Commented Video"/>
    <x v="0"/>
    <s v="Thanks for the very informative vlogs you do. I love love The Gambia and cannot wait to return in 2020 and I&amp;#39;ve learnt a lot from your detailed  vlogs. Also I love your top. Did you buy it ready made or was it sewn for you?"/>
    <s v="UCX-rsu7tL2MC2rXtP06PuZA"/>
    <s v="Eva Clarke"/>
    <s v="http://www.youtube.com/channel/UCX-rsu7tL2MC2rXtP06PuZA"/>
    <m/>
    <s v="OnEGLhO0ZkA"/>
    <s v="https://www.youtube.com/watch?v=OnEGLhO0ZkA"/>
    <s v="none"/>
    <n v="2"/>
    <x v="127"/>
    <d v="2019-10-07T01:35:04.000"/>
    <m/>
    <m/>
    <m/>
    <n v="1"/>
    <n v="1"/>
    <n v="1"/>
    <n v="4"/>
    <n v="8.333333333333334"/>
    <n v="0"/>
    <n v="0"/>
    <n v="0"/>
    <n v="0"/>
    <n v="13"/>
    <n v="27.083333333333332"/>
    <n v="48"/>
  </r>
  <r>
    <s v="UCYJEJH2oquLGc7OhuFpLZ6Q"/>
    <s v="UC4EBLyv8FBuRC-OqRCBI1Ag"/>
    <s v="128, 128, 128"/>
    <n v="3"/>
    <m/>
    <n v="40"/>
    <m/>
    <m/>
    <m/>
    <m/>
    <s v="No"/>
    <n v="132"/>
    <m/>
    <m/>
    <s v="Commented Video"/>
    <x v="0"/>
    <s v="Like that you made it clear that your friend’s child’s infection came from England."/>
    <s v="UCYJEJH2oquLGc7OhuFpLZ6Q"/>
    <s v="Paul Damijo"/>
    <s v="http://www.youtube.com/channel/UCYJEJH2oquLGc7OhuFpLZ6Q"/>
    <m/>
    <s v="OnEGLhO0ZkA"/>
    <s v="https://www.youtube.com/watch?v=OnEGLhO0ZkA"/>
    <s v="none"/>
    <n v="2"/>
    <x v="128"/>
    <d v="2019-10-07T02:10:25.000"/>
    <m/>
    <m/>
    <m/>
    <n v="1"/>
    <n v="1"/>
    <n v="1"/>
    <n v="1"/>
    <n v="6.25"/>
    <n v="1"/>
    <n v="6.25"/>
    <n v="0"/>
    <n v="0"/>
    <n v="3"/>
    <n v="18.75"/>
    <n v="16"/>
  </r>
  <r>
    <s v="UCMtWzzIWhCQTXluffXezc5A"/>
    <s v="UC4EBLyv8FBuRC-OqRCBI1Ag"/>
    <s v="154, 102, 102"/>
    <n v="3"/>
    <m/>
    <n v="40"/>
    <m/>
    <m/>
    <m/>
    <m/>
    <s v="No"/>
    <n v="133"/>
    <m/>
    <m/>
    <s v="Commented Video"/>
    <x v="0"/>
    <s v="Very great job,i&amp;#39;m African i am interesting to know more about this hospital please how can i reach to juliet i live in Germany."/>
    <s v="UCMtWzzIWhCQTXluffXezc5A"/>
    <s v="Ib Sidibe"/>
    <s v="http://www.youtube.com/channel/UCMtWzzIWhCQTXluffXezc5A"/>
    <m/>
    <s v="OnEGLhO0ZkA"/>
    <s v="https://www.youtube.com/watch?v=OnEGLhO0ZkA"/>
    <s v="none"/>
    <n v="1"/>
    <x v="129"/>
    <d v="2019-10-07T02:19:35.000"/>
    <m/>
    <m/>
    <m/>
    <n v="4"/>
    <n v="1"/>
    <n v="1"/>
    <n v="2"/>
    <n v="7.407407407407407"/>
    <n v="0"/>
    <n v="0"/>
    <n v="0"/>
    <n v="0"/>
    <n v="7"/>
    <n v="25.925925925925927"/>
    <n v="27"/>
  </r>
  <r>
    <s v="UCdPa1hLybim7XHwo38VsbYw"/>
    <s v="UC4EBLyv8FBuRC-OqRCBI1Ag"/>
    <s v="128, 128, 128"/>
    <n v="3"/>
    <m/>
    <n v="40"/>
    <m/>
    <m/>
    <m/>
    <m/>
    <s v="No"/>
    <n v="134"/>
    <m/>
    <m/>
    <s v="Commented Video"/>
    <x v="0"/>
    <s v="Wow nice one"/>
    <s v="UCdPa1hLybim7XHwo38VsbYw"/>
    <s v="GOLDEN VIEW TV"/>
    <s v="http://www.youtube.com/channel/UCdPa1hLybim7XHwo38VsbYw"/>
    <m/>
    <s v="OnEGLhO0ZkA"/>
    <s v="https://www.youtube.com/watch?v=OnEGLhO0ZkA"/>
    <s v="none"/>
    <n v="0"/>
    <x v="130"/>
    <d v="2019-10-07T04:35:14.000"/>
    <m/>
    <m/>
    <m/>
    <n v="1"/>
    <n v="1"/>
    <n v="1"/>
    <n v="2"/>
    <n v="66.66666666666667"/>
    <n v="0"/>
    <n v="0"/>
    <n v="0"/>
    <n v="0"/>
    <n v="0"/>
    <n v="0"/>
    <n v="3"/>
  </r>
  <r>
    <s v="UC3H22zDC6zESdN96sz_FBTw"/>
    <s v="UC4EBLyv8FBuRC-OqRCBI1Ag"/>
    <s v="128, 128, 128"/>
    <n v="3"/>
    <m/>
    <n v="40"/>
    <m/>
    <m/>
    <m/>
    <m/>
    <s v="No"/>
    <n v="135"/>
    <m/>
    <m/>
    <s v="Commented Video"/>
    <x v="0"/>
    <s v="That is a first class clinic. Wow . Good to know this clinic exists in Ghana. I am impressed and proud too. ✝️✝️✝️💕"/>
    <s v="UC3H22zDC6zESdN96sz_FBTw"/>
    <s v="Jewel"/>
    <s v="http://www.youtube.com/channel/UC3H22zDC6zESdN96sz_FBTw"/>
    <m/>
    <s v="OnEGLhO0ZkA"/>
    <s v="https://www.youtube.com/watch?v=OnEGLhO0ZkA"/>
    <s v="none"/>
    <n v="1"/>
    <x v="131"/>
    <d v="2019-10-07T05:20:08.000"/>
    <m/>
    <m/>
    <m/>
    <n v="1"/>
    <n v="1"/>
    <n v="1"/>
    <n v="4"/>
    <n v="19.047619047619047"/>
    <n v="0"/>
    <n v="0"/>
    <n v="0"/>
    <n v="0"/>
    <n v="5"/>
    <n v="23.80952380952381"/>
    <n v="21"/>
  </r>
  <r>
    <s v="UCls5dO55jPdBcmsJ82Z0dSw"/>
    <s v="UC4EBLyv8FBuRC-OqRCBI1Ag"/>
    <s v="128, 128, 128"/>
    <n v="3"/>
    <m/>
    <n v="40"/>
    <m/>
    <m/>
    <m/>
    <m/>
    <s v="No"/>
    <n v="136"/>
    <m/>
    <m/>
    <s v="Commented Video"/>
    <x v="0"/>
    <s v="Our black people in the states have so many illnesses and sickness most is due to improper diet they are diabetic, and on dialysis, but some of the greatest Doctors i have come across in the states are from Africa. Thanks for sharing!"/>
    <s v="UCls5dO55jPdBcmsJ82Z0dSw"/>
    <s v="saudia spratt"/>
    <s v="http://www.youtube.com/channel/UCls5dO55jPdBcmsJ82Z0dSw"/>
    <m/>
    <s v="OnEGLhO0ZkA"/>
    <s v="https://www.youtube.com/watch?v=OnEGLhO0ZkA"/>
    <s v="none"/>
    <n v="2"/>
    <x v="132"/>
    <d v="2019-10-07T07:05:53.000"/>
    <m/>
    <m/>
    <m/>
    <n v="1"/>
    <n v="1"/>
    <n v="1"/>
    <n v="1"/>
    <n v="2.3255813953488373"/>
    <n v="2"/>
    <n v="4.651162790697675"/>
    <n v="0"/>
    <n v="0"/>
    <n v="11"/>
    <n v="25.58139534883721"/>
    <n v="43"/>
  </r>
  <r>
    <s v="UC35jHN7lZNm5bbwDecwYOHw"/>
    <s v="UC4EBLyv8FBuRC-OqRCBI1Ag"/>
    <s v="128, 128, 128"/>
    <n v="3"/>
    <m/>
    <n v="40"/>
    <m/>
    <m/>
    <m/>
    <m/>
    <s v="No"/>
    <n v="137"/>
    <m/>
    <m/>
    <s v="Commented Video"/>
    <x v="0"/>
    <s v="Thanks for showing the hospital, it looks very clean.👍🏼🙏🏾"/>
    <s v="UC35jHN7lZNm5bbwDecwYOHw"/>
    <s v="Patricia Eyison"/>
    <s v="http://www.youtube.com/channel/UC35jHN7lZNm5bbwDecwYOHw"/>
    <m/>
    <s v="OnEGLhO0ZkA"/>
    <s v="https://www.youtube.com/watch?v=OnEGLhO0ZkA"/>
    <s v="none"/>
    <n v="0"/>
    <x v="133"/>
    <d v="2019-10-07T12:27:49.000"/>
    <m/>
    <m/>
    <m/>
    <n v="1"/>
    <n v="1"/>
    <n v="1"/>
    <n v="1"/>
    <n v="11.11111111111111"/>
    <n v="0"/>
    <n v="0"/>
    <n v="0"/>
    <n v="0"/>
    <n v="1"/>
    <n v="11.11111111111111"/>
    <n v="9"/>
  </r>
  <r>
    <s v="UCJe-QaoJy1Z6USj1jqkHsxg"/>
    <s v="UC4EBLyv8FBuRC-OqRCBI1Ag"/>
    <s v="128, 128, 128"/>
    <n v="3"/>
    <m/>
    <n v="40"/>
    <m/>
    <m/>
    <m/>
    <m/>
    <s v="No"/>
    <n v="138"/>
    <m/>
    <m/>
    <s v="Commented Video"/>
    <x v="0"/>
    <s v="Very important🦁🌅thanks Juliet. Medical is important for diaspora who are use to ease of care with or without the bedside manners. This will assure us with intentions☕🤗Africa unite!🕯🎵🎶one love🤗what about healthcare insurances or you pay as you go? Major surgery e.g child birth or main organs  e.g heart, kidney, lungs, gyn, the eyes, dentist? Walk good🙏hope to meet you some day."/>
    <s v="UCJe-QaoJy1Z6USj1jqkHsxg"/>
    <s v="Green Orchid"/>
    <s v="http://www.youtube.com/channel/UCJe-QaoJy1Z6USj1jqkHsxg"/>
    <m/>
    <s v="OnEGLhO0ZkA"/>
    <s v="https://www.youtube.com/watch?v=OnEGLhO0ZkA"/>
    <s v="none"/>
    <n v="0"/>
    <x v="134"/>
    <d v="2019-10-07T13:28:56.000"/>
    <m/>
    <m/>
    <m/>
    <n v="1"/>
    <n v="1"/>
    <n v="1"/>
    <n v="6"/>
    <n v="8.823529411764707"/>
    <n v="0"/>
    <n v="0"/>
    <n v="0"/>
    <n v="0"/>
    <n v="27"/>
    <n v="39.705882352941174"/>
    <n v="68"/>
  </r>
  <r>
    <s v="UCQ5YrWroyp2APoRpa-2Zr1g"/>
    <s v="UC4EBLyv8FBuRC-OqRCBI1Ag"/>
    <s v="128, 128, 128"/>
    <n v="3"/>
    <m/>
    <n v="40"/>
    <m/>
    <m/>
    <m/>
    <m/>
    <s v="No"/>
    <n v="139"/>
    <m/>
    <m/>
    <s v="Commented Video"/>
    <x v="0"/>
    <s v="Danke schön fantastisch  Krankenhaus  und trotzdem sauber in Gambia ich liebe dich 😙😙😙 schwester  ich bin aus Deutschland  und mag deine  Videos"/>
    <s v="UCQ5YrWroyp2APoRpa-2Zr1g"/>
    <s v="A J. Fitcom💪🏾"/>
    <s v="http://www.youtube.com/channel/UCQ5YrWroyp2APoRpa-2Zr1g"/>
    <m/>
    <s v="OnEGLhO0ZkA"/>
    <s v="https://www.youtube.com/watch?v=OnEGLhO0ZkA"/>
    <s v="none"/>
    <n v="0"/>
    <x v="135"/>
    <d v="2019-10-07T15:15:04.000"/>
    <m/>
    <m/>
    <m/>
    <n v="1"/>
    <n v="1"/>
    <n v="1"/>
    <n v="1"/>
    <n v="4.761904761904762"/>
    <n v="0"/>
    <n v="0"/>
    <n v="0"/>
    <n v="0"/>
    <n v="10"/>
    <n v="47.61904761904762"/>
    <n v="21"/>
  </r>
  <r>
    <s v="UCYpwE_ZWp_d1juqu_l7B6tA"/>
    <s v="UC4EBLyv8FBuRC-OqRCBI1Ag"/>
    <s v="128, 128, 128"/>
    <n v="3"/>
    <m/>
    <n v="40"/>
    <m/>
    <m/>
    <m/>
    <m/>
    <s v="No"/>
    <n v="140"/>
    <m/>
    <m/>
    <s v="Commented Video"/>
    <x v="0"/>
    <s v="When Africa  gets  more  Doctors  and engineer&amp;#39;s can you imagine what a beautiful  place  Africa  will be how much do you have to pay and if so how  do you pay  is it an on going  payment  or pay when you go to see a doctor.  Thank for  this."/>
    <s v="UCYpwE_ZWp_d1juqu_l7B6tA"/>
    <s v="memories"/>
    <s v="http://www.youtube.com/channel/UCYpwE_ZWp_d1juqu_l7B6tA"/>
    <m/>
    <s v="OnEGLhO0ZkA"/>
    <s v="https://www.youtube.com/watch?v=OnEGLhO0ZkA"/>
    <s v="none"/>
    <n v="4"/>
    <x v="136"/>
    <d v="2019-10-08T03:01:12.000"/>
    <m/>
    <m/>
    <m/>
    <n v="1"/>
    <n v="1"/>
    <n v="1"/>
    <n v="1"/>
    <n v="1.9607843137254901"/>
    <n v="0"/>
    <n v="0"/>
    <n v="0"/>
    <n v="0"/>
    <n v="11"/>
    <n v="21.568627450980394"/>
    <n v="51"/>
  </r>
  <r>
    <s v="UCMmB-QL7OjIj3E4q0q4qUrA"/>
    <s v="UC4EBLyv8FBuRC-OqRCBI1Ag"/>
    <s v="128, 128, 128"/>
    <n v="3"/>
    <m/>
    <n v="40"/>
    <m/>
    <m/>
    <m/>
    <m/>
    <s v="No"/>
    <n v="141"/>
    <m/>
    <m/>
    <s v="Commented Video"/>
    <x v="0"/>
    <s v="Is this private or public facility?"/>
    <s v="UCMmB-QL7OjIj3E4q0q4qUrA"/>
    <s v="super new africa"/>
    <s v="http://www.youtube.com/channel/UCMmB-QL7OjIj3E4q0q4qUrA"/>
    <m/>
    <s v="OnEGLhO0ZkA"/>
    <s v="https://www.youtube.com/watch?v=OnEGLhO0ZkA"/>
    <s v="none"/>
    <n v="0"/>
    <x v="137"/>
    <d v="2019-10-08T04:54:42.000"/>
    <m/>
    <m/>
    <m/>
    <n v="1"/>
    <n v="1"/>
    <n v="1"/>
    <n v="0"/>
    <n v="0"/>
    <n v="0"/>
    <n v="0"/>
    <n v="0"/>
    <n v="0"/>
    <n v="3"/>
    <n v="50"/>
    <n v="6"/>
  </r>
  <r>
    <s v="UCwx5DtPIzTU8mD7GVPGj6xw"/>
    <s v="UC4EBLyv8FBuRC-OqRCBI1Ag"/>
    <s v="128, 128, 128"/>
    <n v="3"/>
    <m/>
    <n v="40"/>
    <m/>
    <m/>
    <m/>
    <m/>
    <s v="No"/>
    <n v="142"/>
    <m/>
    <m/>
    <s v="Commented Video"/>
    <x v="0"/>
    <s v="Do you think health care is better in Gambia as opposed to Ghana?"/>
    <s v="UCwx5DtPIzTU8mD7GVPGj6xw"/>
    <s v="Robert Spiller"/>
    <s v="http://www.youtube.com/channel/UCwx5DtPIzTU8mD7GVPGj6xw"/>
    <m/>
    <s v="OnEGLhO0ZkA"/>
    <s v="https://www.youtube.com/watch?v=OnEGLhO0ZkA"/>
    <s v="none"/>
    <n v="0"/>
    <x v="138"/>
    <d v="2019-10-08T17:47:18.000"/>
    <m/>
    <m/>
    <m/>
    <n v="1"/>
    <n v="1"/>
    <n v="1"/>
    <n v="1"/>
    <n v="7.6923076923076925"/>
    <n v="0"/>
    <n v="0"/>
    <n v="0"/>
    <n v="0"/>
    <n v="6"/>
    <n v="46.15384615384615"/>
    <n v="13"/>
  </r>
  <r>
    <s v="UCAEVSxRog9de2XxDsE-TENg"/>
    <s v="UC4EBLyv8FBuRC-OqRCBI1Ag"/>
    <s v="128, 128, 128"/>
    <n v="3"/>
    <m/>
    <n v="40"/>
    <m/>
    <m/>
    <m/>
    <m/>
    <s v="No"/>
    <n v="143"/>
    <m/>
    <m/>
    <s v="Commented Video"/>
    <x v="0"/>
    <s v="Oh my Goodness.  This was so refreshing to see.  Thank you Sistar for the work you do.  I&amp;#39;m coming to visit."/>
    <s v="UCAEVSxRog9de2XxDsE-TENg"/>
    <s v="Vanelle Smith"/>
    <s v="http://www.youtube.com/channel/UCAEVSxRog9de2XxDsE-TENg"/>
    <m/>
    <s v="OnEGLhO0ZkA"/>
    <s v="https://www.youtube.com/watch?v=OnEGLhO0ZkA"/>
    <s v="none"/>
    <n v="0"/>
    <x v="139"/>
    <d v="2019-10-09T02:45:39.000"/>
    <m/>
    <m/>
    <m/>
    <n v="1"/>
    <n v="1"/>
    <n v="1"/>
    <n v="3"/>
    <n v="13.043478260869565"/>
    <n v="0"/>
    <n v="0"/>
    <n v="0"/>
    <n v="0"/>
    <n v="3"/>
    <n v="13.043478260869565"/>
    <n v="23"/>
  </r>
  <r>
    <s v="UC-JfCXqVFa0u1a9npkncseg"/>
    <s v="UC4EBLyv8FBuRC-OqRCBI1Ag"/>
    <s v="128, 128, 128"/>
    <n v="3"/>
    <m/>
    <n v="40"/>
    <m/>
    <m/>
    <m/>
    <m/>
    <s v="No"/>
    <n v="144"/>
    <m/>
    <m/>
    <s v="Commented Video"/>
    <x v="0"/>
    <s v="Good information, and the clinic is centrally located near to transportation"/>
    <s v="UC-JfCXqVFa0u1a9npkncseg"/>
    <s v="D E Raptor"/>
    <s v="http://www.youtube.com/channel/UC-JfCXqVFa0u1a9npkncseg"/>
    <m/>
    <s v="OnEGLhO0ZkA"/>
    <s v="https://www.youtube.com/watch?v=OnEGLhO0ZkA"/>
    <s v="none"/>
    <n v="0"/>
    <x v="140"/>
    <d v="2019-10-09T10:34:59.000"/>
    <m/>
    <m/>
    <m/>
    <n v="1"/>
    <n v="1"/>
    <n v="1"/>
    <n v="1"/>
    <n v="9.090909090909092"/>
    <n v="0"/>
    <n v="0"/>
    <n v="0"/>
    <n v="0"/>
    <n v="5"/>
    <n v="45.45454545454545"/>
    <n v="11"/>
  </r>
  <r>
    <s v="UCWmoyW5UdMXu3iC4uFd3lNg"/>
    <s v="UC4EBLyv8FBuRC-OqRCBI1Ag"/>
    <s v="128, 128, 128"/>
    <n v="3"/>
    <m/>
    <n v="40"/>
    <m/>
    <m/>
    <m/>
    <m/>
    <s v="No"/>
    <n v="145"/>
    <m/>
    <m/>
    <s v="Commented Video"/>
    <x v="0"/>
    <s v="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
    <s v="UCWmoyW5UdMXu3iC4uFd3lNg"/>
    <s v="David Cammeron"/>
    <s v="http://www.youtube.com/channel/UCWmoyW5UdMXu3iC4uFd3lNg"/>
    <m/>
    <s v="OnEGLhO0ZkA"/>
    <s v="https://www.youtube.com/watch?v=OnEGLhO0ZkA"/>
    <s v="none"/>
    <n v="0"/>
    <x v="141"/>
    <d v="2019-10-10T02:40:31.000"/>
    <m/>
    <m/>
    <m/>
    <n v="1"/>
    <n v="1"/>
    <n v="1"/>
    <n v="5"/>
    <n v="7.042253521126761"/>
    <n v="5"/>
    <n v="7.042253521126761"/>
    <n v="0"/>
    <n v="0"/>
    <n v="18"/>
    <n v="25.35211267605634"/>
    <n v="71"/>
  </r>
  <r>
    <s v="UCVxHoKmb3caNsK62i08t6jA"/>
    <s v="UC4EBLyv8FBuRC-OqRCBI1Ag"/>
    <s v="128, 128, 128"/>
    <n v="3"/>
    <m/>
    <n v="40"/>
    <m/>
    <m/>
    <m/>
    <m/>
    <s v="No"/>
    <n v="146"/>
    <m/>
    <m/>
    <s v="Commented Video"/>
    <x v="0"/>
    <s v="See within 20m min what?  Wow the ER in chicago you wait so long that you just leave. If anyone in comments from Chicago they will verify what goes on here"/>
    <s v="UCVxHoKmb3caNsK62i08t6jA"/>
    <s v="Alpha Empress"/>
    <s v="http://www.youtube.com/channel/UCVxHoKmb3caNsK62i08t6jA"/>
    <m/>
    <s v="OnEGLhO0ZkA"/>
    <s v="https://www.youtube.com/watch?v=OnEGLhO0ZkA"/>
    <s v="none"/>
    <n v="0"/>
    <x v="142"/>
    <d v="2019-10-11T23:41:27.000"/>
    <m/>
    <m/>
    <m/>
    <n v="1"/>
    <n v="1"/>
    <n v="1"/>
    <n v="1"/>
    <n v="3.225806451612903"/>
    <n v="0"/>
    <n v="0"/>
    <n v="0"/>
    <n v="0"/>
    <n v="9"/>
    <n v="29.032258064516128"/>
    <n v="31"/>
  </r>
  <r>
    <s v="UCDfWr6zw8JXvAbT19m2lxfA"/>
    <s v="UC4EBLyv8FBuRC-OqRCBI1Ag"/>
    <s v="128, 128, 128"/>
    <n v="3"/>
    <m/>
    <n v="40"/>
    <m/>
    <m/>
    <m/>
    <m/>
    <s v="No"/>
    <n v="147"/>
    <m/>
    <m/>
    <s v="Commented Video"/>
    <x v="0"/>
    <s v="really nice video."/>
    <s v="UCDfWr6zw8JXvAbT19m2lxfA"/>
    <s v="L Crom"/>
    <s v="http://www.youtube.com/channel/UCDfWr6zw8JXvAbT19m2lxfA"/>
    <m/>
    <s v="OnEGLhO0ZkA"/>
    <s v="https://www.youtube.com/watch?v=OnEGLhO0ZkA"/>
    <s v="none"/>
    <n v="0"/>
    <x v="143"/>
    <d v="2019-10-12T15:48:54.000"/>
    <m/>
    <m/>
    <m/>
    <n v="1"/>
    <n v="1"/>
    <n v="1"/>
    <n v="1"/>
    <n v="33.333333333333336"/>
    <n v="0"/>
    <n v="0"/>
    <n v="0"/>
    <n v="0"/>
    <n v="0"/>
    <n v="0"/>
    <n v="3"/>
  </r>
  <r>
    <s v="UCPA1ozsJSo6nat5Ge_lPAoQ"/>
    <s v="UC4EBLyv8FBuRC-OqRCBI1Ag"/>
    <s v="128, 128, 128"/>
    <n v="3"/>
    <m/>
    <n v="40"/>
    <m/>
    <m/>
    <m/>
    <m/>
    <s v="No"/>
    <n v="148"/>
    <m/>
    <m/>
    <s v="Commented Video"/>
    <x v="0"/>
    <s v="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
    <s v="UCPA1ozsJSo6nat5Ge_lPAoQ"/>
    <s v="Jackie AQ"/>
    <s v="http://www.youtube.com/channel/UCPA1ozsJSo6nat5Ge_lPAoQ"/>
    <m/>
    <s v="OnEGLhO0ZkA"/>
    <s v="https://www.youtube.com/watch?v=OnEGLhO0ZkA"/>
    <s v="none"/>
    <n v="0"/>
    <x v="144"/>
    <d v="2019-10-15T20:35:11.000"/>
    <m/>
    <m/>
    <m/>
    <n v="1"/>
    <n v="1"/>
    <n v="1"/>
    <n v="2"/>
    <n v="2.6315789473684212"/>
    <n v="1"/>
    <n v="1.3157894736842106"/>
    <n v="0"/>
    <n v="0"/>
    <n v="22"/>
    <n v="28.94736842105263"/>
    <n v="76"/>
  </r>
  <r>
    <s v="UCD9Q7qkG0ReL5AVJNk_N0DQ"/>
    <s v="UC4EBLyv8FBuRC-OqRCBI1Ag"/>
    <s v="128, 128, 128"/>
    <n v="3"/>
    <m/>
    <n v="40"/>
    <m/>
    <m/>
    <m/>
    <m/>
    <s v="No"/>
    <n v="149"/>
    <m/>
    <m/>
    <s v="Commented Video"/>
    <x v="0"/>
    <s v="Awesome video...great work Juliet!!😄🤗"/>
    <s v="UCD9Q7qkG0ReL5AVJNk_N0DQ"/>
    <s v="STAR SEEDS"/>
    <s v="http://www.youtube.com/channel/UCD9Q7qkG0ReL5AVJNk_N0DQ"/>
    <m/>
    <s v="OnEGLhO0ZkA"/>
    <s v="https://www.youtube.com/watch?v=OnEGLhO0ZkA"/>
    <s v="none"/>
    <n v="0"/>
    <x v="145"/>
    <d v="2019-10-21T06:47:34.000"/>
    <m/>
    <m/>
    <m/>
    <n v="1"/>
    <n v="1"/>
    <n v="1"/>
    <n v="3"/>
    <n v="60"/>
    <n v="0"/>
    <n v="0"/>
    <n v="0"/>
    <n v="0"/>
    <n v="1"/>
    <n v="20"/>
    <n v="5"/>
  </r>
  <r>
    <s v="UC3bC6U4pFHacee5RahQYSDQ"/>
    <s v="UC4EBLyv8FBuRC-OqRCBI1Ag"/>
    <s v="128, 128, 128"/>
    <n v="3"/>
    <m/>
    <n v="40"/>
    <m/>
    <m/>
    <m/>
    <m/>
    <s v="No"/>
    <n v="150"/>
    <m/>
    <m/>
    <s v="Commented Video"/>
    <x v="0"/>
    <s v="💫✊🏿"/>
    <s v="UC3bC6U4pFHacee5RahQYSDQ"/>
    <s v="Fafunmilayo Osunola"/>
    <s v="http://www.youtube.com/channel/UC3bC6U4pFHacee5RahQYSDQ"/>
    <m/>
    <s v="OnEGLhO0ZkA"/>
    <s v="https://www.youtube.com/watch?v=OnEGLhO0ZkA"/>
    <s v="none"/>
    <n v="0"/>
    <x v="146"/>
    <d v="2019-10-27T18:09:14.000"/>
    <m/>
    <m/>
    <m/>
    <n v="1"/>
    <n v="1"/>
    <n v="1"/>
    <n v="0"/>
    <n v="0"/>
    <n v="0"/>
    <n v="0"/>
    <n v="0"/>
    <n v="0"/>
    <n v="0"/>
    <n v="0"/>
    <n v="0"/>
  </r>
  <r>
    <s v="UCz2VJsU0L-e1OP4xwr4PHrg"/>
    <s v="UC4EBLyv8FBuRC-OqRCBI1Ag"/>
    <s v="128, 128, 128"/>
    <n v="3"/>
    <m/>
    <n v="40"/>
    <m/>
    <m/>
    <m/>
    <m/>
    <s v="No"/>
    <n v="151"/>
    <m/>
    <m/>
    <s v="Commented Video"/>
    <x v="0"/>
    <s v="Greetings Great 👍 stuff stay bless"/>
    <s v="UCz2VJsU0L-e1OP4xwr4PHrg"/>
    <s v="goldyempiremusic"/>
    <s v="http://www.youtube.com/channel/UCz2VJsU0L-e1OP4xwr4PHrg"/>
    <m/>
    <s v="OnEGLhO0ZkA"/>
    <s v="https://www.youtube.com/watch?v=OnEGLhO0ZkA"/>
    <s v="none"/>
    <n v="1"/>
    <x v="147"/>
    <d v="2022-05-08T03:31:22.000"/>
    <m/>
    <m/>
    <m/>
    <n v="1"/>
    <n v="1"/>
    <n v="1"/>
    <n v="2"/>
    <n v="40"/>
    <n v="0"/>
    <n v="0"/>
    <n v="0"/>
    <n v="0"/>
    <n v="3"/>
    <n v="60"/>
    <n v="5"/>
  </r>
  <r>
    <s v="UCT-ZQLKcrWAQJkyVgKleMFg"/>
    <s v="UC4EBLyv8FBuRC-OqRCBI1Ag"/>
    <s v="128, 128, 128"/>
    <n v="3"/>
    <m/>
    <n v="40"/>
    <m/>
    <m/>
    <m/>
    <m/>
    <s v="No"/>
    <n v="152"/>
    <m/>
    <m/>
    <s v="Commented Video"/>
    <x v="0"/>
    <s v="If you have Medicaid or Medicare insurance😏 Will American Insurance cover in your country???"/>
    <s v="UCT-ZQLKcrWAQJkyVgKleMFg"/>
    <s v="Michelle Rayeford"/>
    <s v="http://www.youtube.com/channel/UCT-ZQLKcrWAQJkyVgKleMFg"/>
    <m/>
    <s v="OnEGLhO0ZkA"/>
    <s v="https://www.youtube.com/watch?v=OnEGLhO0ZkA"/>
    <s v="none"/>
    <n v="0"/>
    <x v="148"/>
    <d v="2022-06-18T01:02:36.000"/>
    <m/>
    <m/>
    <m/>
    <n v="1"/>
    <n v="1"/>
    <n v="1"/>
    <n v="0"/>
    <n v="0"/>
    <n v="0"/>
    <n v="0"/>
    <n v="0"/>
    <n v="0"/>
    <n v="7"/>
    <n v="50"/>
    <n v="14"/>
  </r>
  <r>
    <s v="UC4EBLyv8FBuRC-OqRCBI1Ag"/>
    <s v="UC4EBLyv8FBuRC-OqRCBI1Ag"/>
    <s v="196, 59, 59"/>
    <n v="3"/>
    <m/>
    <n v="40"/>
    <m/>
    <m/>
    <m/>
    <m/>
    <s v="No"/>
    <n v="153"/>
    <m/>
    <m/>
    <s v="Commented Video"/>
    <x v="0"/>
    <s v="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
    <s v="UC4EBLyv8FBuRC-OqRCBI1Ag"/>
    <s v="BlaXit"/>
    <s v="http://www.youtube.com/channel/UC4EBLyv8FBuRC-OqRCBI1Ag"/>
    <m/>
    <s v="OnEGLhO0ZkA"/>
    <s v="https://www.youtube.com/watch?v=OnEGLhO0ZkA"/>
    <s v="none"/>
    <n v="6"/>
    <x v="149"/>
    <d v="2019-10-06T04:13:17.000"/>
    <m/>
    <m/>
    <m/>
    <n v="9"/>
    <n v="1"/>
    <n v="1"/>
    <n v="5"/>
    <n v="2.808988764044944"/>
    <n v="0"/>
    <n v="0"/>
    <n v="0"/>
    <n v="0"/>
    <n v="62"/>
    <n v="34.831460674157306"/>
    <n v="178"/>
  </r>
  <r>
    <s v="UCwa_5NKJfN0Li4TsAgPPSfQ"/>
    <s v="UC4EBLyv8FBuRC-OqRCBI1Ag"/>
    <s v="154, 102, 102"/>
    <n v="3"/>
    <m/>
    <n v="40"/>
    <m/>
    <m/>
    <m/>
    <m/>
    <s v="No"/>
    <n v="154"/>
    <m/>
    <m/>
    <s v="Commented Video"/>
    <x v="0"/>
    <s v="How much does medical care cost?"/>
    <s v="UCwa_5NKJfN0Li4TsAgPPSfQ"/>
    <s v="Eleanor Null"/>
    <s v="http://www.youtube.com/channel/UCwa_5NKJfN0Li4TsAgPPSfQ"/>
    <m/>
    <s v="OnEGLhO0ZkA"/>
    <s v="https://www.youtube.com/watch?v=OnEGLhO0ZkA"/>
    <s v="none"/>
    <n v="0"/>
    <x v="150"/>
    <d v="2022-07-11T04:37:40.000"/>
    <m/>
    <m/>
    <m/>
    <n v="4"/>
    <n v="1"/>
    <n v="1"/>
    <n v="0"/>
    <n v="0"/>
    <n v="0"/>
    <n v="0"/>
    <n v="0"/>
    <n v="0"/>
    <n v="3"/>
    <n v="50"/>
    <n v="6"/>
  </r>
  <r>
    <s v="UCi_h48HRXz_Kznn-eNI-quA"/>
    <s v="UCi_h48HRXz_Kznn-eNI-quA"/>
    <s v="128, 128, 128"/>
    <n v="3"/>
    <m/>
    <n v="40"/>
    <m/>
    <m/>
    <m/>
    <m/>
    <s v="No"/>
    <n v="155"/>
    <m/>
    <m/>
    <s v="Posted Video"/>
    <x v="1"/>
    <m/>
    <m/>
    <m/>
    <m/>
    <m/>
    <s v="1CCBeh9IPLo"/>
    <s v="https://www.youtube.com/watch?v=1CCBeh9IPLo"/>
    <m/>
    <m/>
    <x v="151"/>
    <m/>
    <m/>
    <m/>
    <m/>
    <n v="1"/>
    <n v="2"/>
    <n v="2"/>
    <m/>
    <m/>
    <m/>
    <m/>
    <m/>
    <m/>
    <m/>
    <m/>
    <m/>
  </r>
  <r>
    <s v="UCmXX0HRsPEzYI272VFxzC0w"/>
    <s v="UCmXX0HRsPEzYI272VFxzC0w"/>
    <s v="128, 128, 128"/>
    <n v="3"/>
    <m/>
    <n v="40"/>
    <m/>
    <m/>
    <m/>
    <m/>
    <s v="No"/>
    <n v="156"/>
    <m/>
    <m/>
    <s v="Posted Video"/>
    <x v="1"/>
    <m/>
    <m/>
    <m/>
    <m/>
    <m/>
    <s v="rGIM2VzISW4"/>
    <s v="https://www.youtube.com/watch?v=rGIM2VzISW4"/>
    <m/>
    <m/>
    <x v="152"/>
    <m/>
    <m/>
    <m/>
    <m/>
    <n v="1"/>
    <n v="2"/>
    <n v="2"/>
    <m/>
    <m/>
    <m/>
    <m/>
    <m/>
    <m/>
    <m/>
    <m/>
    <m/>
  </r>
  <r>
    <s v="UCvGQj9GliSYQTkIpHAP32sw"/>
    <s v="UCvGQj9GliSYQTkIpHAP32sw"/>
    <s v="154, 102, 102"/>
    <n v="3"/>
    <m/>
    <n v="40"/>
    <m/>
    <m/>
    <m/>
    <m/>
    <s v="No"/>
    <n v="157"/>
    <m/>
    <m/>
    <s v="Posted Video"/>
    <x v="1"/>
    <m/>
    <m/>
    <m/>
    <m/>
    <m/>
    <s v="mHMiBrhfHMo"/>
    <s v="https://www.youtube.com/watch?v=mHMiBrhfHMo"/>
    <m/>
    <m/>
    <x v="153"/>
    <m/>
    <m/>
    <m/>
    <m/>
    <n v="4"/>
    <n v="2"/>
    <n v="2"/>
    <m/>
    <m/>
    <m/>
    <m/>
    <m/>
    <m/>
    <m/>
    <m/>
    <m/>
  </r>
  <r>
    <s v="UCVcMchUDm3C9tVQzmJpka4g"/>
    <s v="UCVcMchUDm3C9tVQzmJpka4g"/>
    <s v="128, 128, 128"/>
    <n v="3"/>
    <m/>
    <n v="40"/>
    <m/>
    <m/>
    <m/>
    <m/>
    <s v="No"/>
    <n v="158"/>
    <m/>
    <m/>
    <s v="Posted Video"/>
    <x v="1"/>
    <m/>
    <m/>
    <m/>
    <m/>
    <m/>
    <s v="8ahhC0tyeEw"/>
    <s v="https://www.youtube.com/watch?v=8ahhC0tyeEw"/>
    <m/>
    <m/>
    <x v="154"/>
    <m/>
    <m/>
    <m/>
    <m/>
    <n v="1"/>
    <n v="2"/>
    <n v="2"/>
    <m/>
    <m/>
    <m/>
    <m/>
    <m/>
    <m/>
    <m/>
    <m/>
    <m/>
  </r>
  <r>
    <s v="UCXyTH0aBRwsNlG_05k-XM6A"/>
    <s v="UCXyTH0aBRwsNlG_05k-XM6A"/>
    <s v="154, 102, 102"/>
    <n v="3"/>
    <m/>
    <n v="40"/>
    <m/>
    <m/>
    <m/>
    <m/>
    <s v="No"/>
    <n v="159"/>
    <m/>
    <m/>
    <s v="Posted Video"/>
    <x v="1"/>
    <m/>
    <m/>
    <m/>
    <m/>
    <m/>
    <s v="v0wgsQjWv44"/>
    <s v="https://www.youtube.com/watch?v=v0wgsQjWv44"/>
    <m/>
    <m/>
    <x v="155"/>
    <m/>
    <m/>
    <m/>
    <m/>
    <n v="4"/>
    <n v="2"/>
    <n v="2"/>
    <m/>
    <m/>
    <m/>
    <m/>
    <m/>
    <m/>
    <m/>
    <m/>
    <m/>
  </r>
  <r>
    <s v="UCmLRbJDeT4YMDaOWWLEvCFA"/>
    <s v="UCmLRbJDeT4YMDaOWWLEvCFA"/>
    <s v="128, 128, 128"/>
    <n v="3"/>
    <m/>
    <n v="40"/>
    <m/>
    <m/>
    <m/>
    <m/>
    <s v="No"/>
    <n v="160"/>
    <m/>
    <m/>
    <s v="Posted Video"/>
    <x v="1"/>
    <m/>
    <m/>
    <m/>
    <m/>
    <m/>
    <s v="0ag2qtb7gyk"/>
    <s v="https://www.youtube.com/watch?v=0ag2qtb7gyk"/>
    <m/>
    <m/>
    <x v="156"/>
    <m/>
    <m/>
    <m/>
    <m/>
    <n v="1"/>
    <n v="2"/>
    <n v="2"/>
    <m/>
    <m/>
    <m/>
    <m/>
    <m/>
    <m/>
    <m/>
    <m/>
    <m/>
  </r>
  <r>
    <s v="UCw7po6y6isu4SW6IfnBikjg"/>
    <s v="UCw7po6y6isu4SW6IfnBikjg"/>
    <s v="128, 128, 128"/>
    <n v="3"/>
    <m/>
    <n v="40"/>
    <m/>
    <m/>
    <m/>
    <m/>
    <s v="No"/>
    <n v="161"/>
    <m/>
    <m/>
    <s v="Posted Video"/>
    <x v="1"/>
    <m/>
    <m/>
    <m/>
    <m/>
    <m/>
    <s v="R526WFz-P_U"/>
    <s v="https://www.youtube.com/watch?v=R526WFz-P_U"/>
    <m/>
    <m/>
    <x v="157"/>
    <m/>
    <m/>
    <m/>
    <m/>
    <n v="1"/>
    <n v="2"/>
    <n v="2"/>
    <m/>
    <m/>
    <m/>
    <m/>
    <m/>
    <m/>
    <m/>
    <m/>
    <m/>
  </r>
  <r>
    <s v="UCgp4A6I8LCWrhUzn-5SbKvA"/>
    <s v="UCgp4A6I8LCWrhUzn-5SbKvA"/>
    <s v="128, 128, 128"/>
    <n v="3"/>
    <m/>
    <n v="40"/>
    <m/>
    <m/>
    <m/>
    <m/>
    <s v="No"/>
    <n v="162"/>
    <m/>
    <m/>
    <s v="Posted Video"/>
    <x v="1"/>
    <m/>
    <m/>
    <m/>
    <m/>
    <m/>
    <s v="k8XVyw0UWQU"/>
    <s v="https://www.youtube.com/watch?v=k8XVyw0UWQU"/>
    <m/>
    <m/>
    <x v="158"/>
    <m/>
    <m/>
    <m/>
    <m/>
    <n v="1"/>
    <n v="2"/>
    <n v="2"/>
    <m/>
    <m/>
    <m/>
    <m/>
    <m/>
    <m/>
    <m/>
    <m/>
    <m/>
  </r>
  <r>
    <s v="UCoEOlZceiKyFyviH3J0vEmQ"/>
    <s v="UCoEOlZceiKyFyviH3J0vEmQ"/>
    <s v="128, 128, 128"/>
    <n v="3"/>
    <m/>
    <n v="40"/>
    <m/>
    <m/>
    <m/>
    <m/>
    <s v="No"/>
    <n v="163"/>
    <m/>
    <m/>
    <s v="Posted Video"/>
    <x v="1"/>
    <m/>
    <m/>
    <m/>
    <m/>
    <m/>
    <s v="-VWKefgqSGk"/>
    <s v="https://www.youtube.com/watch?v=-VWKefgqSGk"/>
    <m/>
    <m/>
    <x v="159"/>
    <m/>
    <m/>
    <m/>
    <m/>
    <n v="1"/>
    <n v="2"/>
    <n v="2"/>
    <m/>
    <m/>
    <m/>
    <m/>
    <m/>
    <m/>
    <m/>
    <m/>
    <m/>
  </r>
  <r>
    <s v="UCg0ZDNRBmKRAJ3PHyGMQo3g"/>
    <s v="UCg0ZDNRBmKRAJ3PHyGMQo3g"/>
    <s v="128, 128, 128"/>
    <n v="3"/>
    <m/>
    <n v="40"/>
    <m/>
    <m/>
    <m/>
    <m/>
    <s v="No"/>
    <n v="164"/>
    <m/>
    <m/>
    <s v="Posted Video"/>
    <x v="1"/>
    <m/>
    <m/>
    <m/>
    <m/>
    <m/>
    <s v="O9ZW4gMN2pw"/>
    <s v="https://www.youtube.com/watch?v=O9ZW4gMN2pw"/>
    <m/>
    <m/>
    <x v="160"/>
    <m/>
    <m/>
    <m/>
    <m/>
    <n v="1"/>
    <n v="2"/>
    <n v="2"/>
    <m/>
    <m/>
    <m/>
    <m/>
    <m/>
    <m/>
    <m/>
    <m/>
    <m/>
  </r>
  <r>
    <s v="UC5Bv_JKHGoCPWBluXuNdM_w"/>
    <s v="UC5Bv_JKHGoCPWBluXuNdM_w"/>
    <s v="128, 128, 128"/>
    <n v="3"/>
    <m/>
    <n v="40"/>
    <m/>
    <m/>
    <m/>
    <m/>
    <s v="No"/>
    <n v="165"/>
    <m/>
    <m/>
    <s v="Posted Video"/>
    <x v="1"/>
    <m/>
    <m/>
    <m/>
    <m/>
    <m/>
    <s v="NFA-kiVe3cU"/>
    <s v="https://www.youtube.com/watch?v=NFA-kiVe3cU"/>
    <m/>
    <m/>
    <x v="161"/>
    <m/>
    <m/>
    <m/>
    <m/>
    <n v="1"/>
    <n v="2"/>
    <n v="2"/>
    <m/>
    <m/>
    <m/>
    <m/>
    <m/>
    <m/>
    <m/>
    <m/>
    <m/>
  </r>
  <r>
    <s v="UCALLAENkKwaoG6-ZcHLv73w"/>
    <s v="UCALLAENkKwaoG6-ZcHLv73w"/>
    <s v="128, 128, 128"/>
    <n v="3"/>
    <m/>
    <n v="40"/>
    <m/>
    <m/>
    <m/>
    <m/>
    <s v="No"/>
    <n v="166"/>
    <m/>
    <m/>
    <s v="Posted Video"/>
    <x v="1"/>
    <m/>
    <m/>
    <m/>
    <m/>
    <m/>
    <s v="Wl4hidfJvy8"/>
    <s v="https://www.youtube.com/watch?v=Wl4hidfJvy8"/>
    <m/>
    <m/>
    <x v="162"/>
    <m/>
    <m/>
    <m/>
    <m/>
    <n v="1"/>
    <n v="2"/>
    <n v="2"/>
    <m/>
    <m/>
    <m/>
    <m/>
    <m/>
    <m/>
    <m/>
    <m/>
    <m/>
  </r>
  <r>
    <s v="UC5bG0_VCeOhJLGp_jGZJLbQ"/>
    <s v="UC5bG0_VCeOhJLGp_jGZJLbQ"/>
    <s v="128, 128, 128"/>
    <n v="3"/>
    <m/>
    <n v="40"/>
    <m/>
    <m/>
    <m/>
    <m/>
    <s v="No"/>
    <n v="167"/>
    <m/>
    <m/>
    <s v="Posted Video"/>
    <x v="1"/>
    <m/>
    <m/>
    <m/>
    <m/>
    <m/>
    <s v="pjWta5Q-C8g"/>
    <s v="https://www.youtube.com/watch?v=pjWta5Q-C8g"/>
    <m/>
    <m/>
    <x v="163"/>
    <m/>
    <m/>
    <m/>
    <m/>
    <n v="1"/>
    <n v="2"/>
    <n v="2"/>
    <m/>
    <m/>
    <m/>
    <m/>
    <m/>
    <m/>
    <m/>
    <m/>
    <m/>
  </r>
  <r>
    <s v="UC_3Lza_tjzG7gWz5_xCMYCw"/>
    <s v="UC_3Lza_tjzG7gWz5_xCMYCw"/>
    <s v="128, 128, 128"/>
    <n v="3"/>
    <m/>
    <n v="40"/>
    <m/>
    <m/>
    <m/>
    <m/>
    <s v="No"/>
    <n v="168"/>
    <m/>
    <m/>
    <s v="Posted Video"/>
    <x v="1"/>
    <m/>
    <m/>
    <m/>
    <m/>
    <m/>
    <s v="ZDSsgnZvcvo"/>
    <s v="https://www.youtube.com/watch?v=ZDSsgnZvcvo"/>
    <m/>
    <m/>
    <x v="164"/>
    <m/>
    <m/>
    <m/>
    <m/>
    <n v="1"/>
    <n v="2"/>
    <n v="2"/>
    <m/>
    <m/>
    <m/>
    <m/>
    <m/>
    <m/>
    <m/>
    <m/>
    <m/>
  </r>
  <r>
    <s v="UCQ89NlPmz86wtPUg69Mdcuw"/>
    <s v="UCQ89NlPmz86wtPUg69Mdcuw"/>
    <s v="128, 128, 128"/>
    <n v="3"/>
    <m/>
    <n v="40"/>
    <m/>
    <m/>
    <m/>
    <m/>
    <s v="No"/>
    <n v="169"/>
    <m/>
    <m/>
    <s v="Posted Video"/>
    <x v="1"/>
    <m/>
    <m/>
    <m/>
    <m/>
    <m/>
    <s v="-f9rpzRJDf4"/>
    <s v="https://www.youtube.com/watch?v=-f9rpzRJDf4"/>
    <m/>
    <m/>
    <x v="165"/>
    <m/>
    <m/>
    <m/>
    <m/>
    <n v="1"/>
    <n v="2"/>
    <n v="2"/>
    <m/>
    <m/>
    <m/>
    <m/>
    <m/>
    <m/>
    <m/>
    <m/>
    <m/>
  </r>
  <r>
    <s v="UCTSbplgzZUG4bnnLbAYyj0g"/>
    <s v="UCTSbplgzZUG4bnnLbAYyj0g"/>
    <s v="128, 128, 128"/>
    <n v="3"/>
    <m/>
    <n v="40"/>
    <m/>
    <m/>
    <m/>
    <m/>
    <s v="No"/>
    <n v="170"/>
    <m/>
    <m/>
    <s v="Posted Video"/>
    <x v="1"/>
    <m/>
    <m/>
    <m/>
    <m/>
    <m/>
    <s v="4YhSUuzJnu0"/>
    <s v="https://www.youtube.com/watch?v=4YhSUuzJnu0"/>
    <m/>
    <m/>
    <x v="166"/>
    <m/>
    <m/>
    <m/>
    <m/>
    <n v="1"/>
    <n v="2"/>
    <n v="2"/>
    <m/>
    <m/>
    <m/>
    <m/>
    <m/>
    <m/>
    <m/>
    <m/>
    <m/>
  </r>
  <r>
    <s v="UCvLPRhhEHLSFE8Gc15mGLZg"/>
    <s v="UCvLPRhhEHLSFE8Gc15mGLZg"/>
    <s v="128, 128, 128"/>
    <n v="3"/>
    <m/>
    <n v="40"/>
    <m/>
    <m/>
    <m/>
    <m/>
    <s v="No"/>
    <n v="171"/>
    <m/>
    <m/>
    <s v="Posted Video"/>
    <x v="1"/>
    <m/>
    <m/>
    <m/>
    <m/>
    <m/>
    <s v="8X0545SNOc0"/>
    <s v="https://www.youtube.com/watch?v=8X0545SNOc0"/>
    <m/>
    <m/>
    <x v="167"/>
    <m/>
    <m/>
    <m/>
    <m/>
    <n v="1"/>
    <n v="2"/>
    <n v="2"/>
    <m/>
    <m/>
    <m/>
    <m/>
    <m/>
    <m/>
    <m/>
    <m/>
    <m/>
  </r>
  <r>
    <s v="UCsba91UGiQLFOb5DN3Z_AdQ"/>
    <s v="UCsba91UGiQLFOb5DN3Z_AdQ"/>
    <s v="128, 128, 128"/>
    <n v="3"/>
    <m/>
    <n v="40"/>
    <m/>
    <m/>
    <m/>
    <m/>
    <s v="No"/>
    <n v="172"/>
    <m/>
    <m/>
    <s v="Posted Video"/>
    <x v="1"/>
    <m/>
    <m/>
    <m/>
    <m/>
    <m/>
    <s v="cVB8q3dISPw"/>
    <s v="https://www.youtube.com/watch?v=cVB8q3dISPw"/>
    <m/>
    <m/>
    <x v="168"/>
    <m/>
    <m/>
    <m/>
    <m/>
    <n v="1"/>
    <n v="2"/>
    <n v="2"/>
    <m/>
    <m/>
    <m/>
    <m/>
    <m/>
    <m/>
    <m/>
    <m/>
    <m/>
  </r>
  <r>
    <s v="UCuTzX94ENhBJONvB2ahw24w"/>
    <s v="UCuTzX94ENhBJONvB2ahw24w"/>
    <s v="128, 128, 128"/>
    <n v="3"/>
    <m/>
    <n v="40"/>
    <m/>
    <m/>
    <m/>
    <m/>
    <s v="No"/>
    <n v="173"/>
    <m/>
    <m/>
    <s v="Posted Video"/>
    <x v="1"/>
    <m/>
    <m/>
    <m/>
    <m/>
    <m/>
    <s v="2gS9hZ0RBqY"/>
    <s v="https://www.youtube.com/watch?v=2gS9hZ0RBqY"/>
    <m/>
    <m/>
    <x v="169"/>
    <m/>
    <m/>
    <m/>
    <m/>
    <n v="1"/>
    <n v="2"/>
    <n v="2"/>
    <m/>
    <m/>
    <m/>
    <m/>
    <m/>
    <m/>
    <m/>
    <m/>
    <m/>
  </r>
  <r>
    <s v="UCxoVagz0y4JRxktrzzVtHmw"/>
    <s v="UCxoVagz0y4JRxktrzzVtHmw"/>
    <s v="128, 128, 128"/>
    <n v="3"/>
    <m/>
    <n v="40"/>
    <m/>
    <m/>
    <m/>
    <m/>
    <s v="No"/>
    <n v="174"/>
    <m/>
    <m/>
    <s v="Posted Video"/>
    <x v="1"/>
    <m/>
    <m/>
    <m/>
    <m/>
    <m/>
    <s v="VZV8PAy7MGI"/>
    <s v="https://www.youtube.com/watch?v=VZV8PAy7MGI"/>
    <m/>
    <m/>
    <x v="170"/>
    <m/>
    <m/>
    <m/>
    <m/>
    <n v="1"/>
    <n v="2"/>
    <n v="2"/>
    <m/>
    <m/>
    <m/>
    <m/>
    <m/>
    <m/>
    <m/>
    <m/>
    <m/>
  </r>
  <r>
    <s v="UCJvZYspa9qxhoccHGQfYIFA"/>
    <s v="UCJvZYspa9qxhoccHGQfYIFA"/>
    <s v="128, 128, 128"/>
    <n v="3"/>
    <m/>
    <n v="40"/>
    <m/>
    <m/>
    <m/>
    <m/>
    <s v="No"/>
    <n v="175"/>
    <m/>
    <m/>
    <s v="Posted Video"/>
    <x v="1"/>
    <m/>
    <m/>
    <m/>
    <m/>
    <m/>
    <s v="TqFT83I_uFo"/>
    <s v="https://www.youtube.com/watch?v=TqFT83I_uFo"/>
    <m/>
    <m/>
    <x v="171"/>
    <m/>
    <m/>
    <m/>
    <m/>
    <n v="1"/>
    <n v="2"/>
    <n v="2"/>
    <m/>
    <m/>
    <m/>
    <m/>
    <m/>
    <m/>
    <m/>
    <m/>
    <m/>
  </r>
  <r>
    <s v="UCRxYH6tdy4P41qF4iAPy4ZA"/>
    <s v="UCRxYH6tdy4P41qF4iAPy4ZA"/>
    <s v="128, 128, 128"/>
    <n v="3"/>
    <m/>
    <n v="40"/>
    <m/>
    <m/>
    <m/>
    <m/>
    <s v="No"/>
    <n v="176"/>
    <m/>
    <m/>
    <s v="Posted Video"/>
    <x v="1"/>
    <m/>
    <m/>
    <m/>
    <m/>
    <m/>
    <s v="aXaq71EcPU4"/>
    <s v="https://www.youtube.com/watch?v=aXaq71EcPU4"/>
    <m/>
    <m/>
    <x v="172"/>
    <m/>
    <m/>
    <m/>
    <m/>
    <n v="1"/>
    <n v="2"/>
    <n v="2"/>
    <m/>
    <m/>
    <m/>
    <m/>
    <m/>
    <m/>
    <m/>
    <m/>
    <m/>
  </r>
  <r>
    <s v="UCYmZ7xGJwG-V865ObZd0lXQ"/>
    <s v="UCYmZ7xGJwG-V865ObZd0lXQ"/>
    <s v="128, 128, 128"/>
    <n v="3"/>
    <m/>
    <n v="40"/>
    <m/>
    <m/>
    <m/>
    <m/>
    <s v="No"/>
    <n v="177"/>
    <m/>
    <m/>
    <s v="Posted Video"/>
    <x v="1"/>
    <m/>
    <m/>
    <m/>
    <m/>
    <m/>
    <s v="JYeual3sT28"/>
    <s v="https://www.youtube.com/watch?v=JYeual3sT28"/>
    <m/>
    <m/>
    <x v="173"/>
    <m/>
    <m/>
    <m/>
    <m/>
    <n v="1"/>
    <n v="2"/>
    <n v="2"/>
    <m/>
    <m/>
    <m/>
    <m/>
    <m/>
    <m/>
    <m/>
    <m/>
    <m/>
  </r>
  <r>
    <s v="UCPLKy4Ypb4mfblbjJI8Aljw"/>
    <s v="UCPLKy4Ypb4mfblbjJI8Aljw"/>
    <s v="154, 102, 102"/>
    <n v="3"/>
    <m/>
    <n v="40"/>
    <m/>
    <m/>
    <m/>
    <m/>
    <s v="No"/>
    <n v="178"/>
    <m/>
    <m/>
    <s v="Posted Video"/>
    <x v="1"/>
    <m/>
    <m/>
    <m/>
    <m/>
    <m/>
    <s v="zJx3sAa2WEQ"/>
    <s v="https://www.youtube.com/watch?v=zJx3sAa2WEQ"/>
    <m/>
    <m/>
    <x v="174"/>
    <m/>
    <m/>
    <m/>
    <m/>
    <n v="4"/>
    <n v="2"/>
    <n v="2"/>
    <m/>
    <m/>
    <m/>
    <m/>
    <m/>
    <m/>
    <m/>
    <m/>
    <m/>
  </r>
  <r>
    <s v="UCsp9phy3joAWoHzrmhmzz4A"/>
    <s v="UCsp9phy3joAWoHzrmhmzz4A"/>
    <s v="128, 128, 128"/>
    <n v="3"/>
    <m/>
    <n v="40"/>
    <m/>
    <m/>
    <m/>
    <m/>
    <s v="No"/>
    <n v="179"/>
    <m/>
    <m/>
    <s v="Posted Video"/>
    <x v="1"/>
    <m/>
    <m/>
    <m/>
    <m/>
    <m/>
    <s v="XtgP-D04bAI"/>
    <s v="https://www.youtube.com/watch?v=XtgP-D04bAI"/>
    <m/>
    <m/>
    <x v="175"/>
    <m/>
    <m/>
    <m/>
    <m/>
    <n v="1"/>
    <n v="2"/>
    <n v="2"/>
    <m/>
    <m/>
    <m/>
    <m/>
    <m/>
    <m/>
    <m/>
    <m/>
    <m/>
  </r>
  <r>
    <s v="UCWqolFV4CJo2qqyyRUlHPpA"/>
    <s v="UCWqolFV4CJo2qqyyRUlHPpA"/>
    <s v="128, 128, 128"/>
    <n v="3"/>
    <m/>
    <n v="40"/>
    <m/>
    <m/>
    <m/>
    <m/>
    <s v="No"/>
    <n v="180"/>
    <m/>
    <m/>
    <s v="Posted Video"/>
    <x v="1"/>
    <m/>
    <m/>
    <m/>
    <m/>
    <m/>
    <s v="pGW2PLAsX7k"/>
    <s v="https://www.youtube.com/watch?v=pGW2PLAsX7k"/>
    <m/>
    <m/>
    <x v="176"/>
    <m/>
    <m/>
    <m/>
    <m/>
    <n v="1"/>
    <n v="2"/>
    <n v="2"/>
    <m/>
    <m/>
    <m/>
    <m/>
    <m/>
    <m/>
    <m/>
    <m/>
    <m/>
  </r>
  <r>
    <s v="UCQMML3hAsx-Mz9j9ZN0tThQ"/>
    <s v="UCQMML3hAsx-Mz9j9ZN0tThQ"/>
    <s v="128, 128, 128"/>
    <n v="3"/>
    <m/>
    <n v="40"/>
    <m/>
    <m/>
    <m/>
    <m/>
    <s v="No"/>
    <n v="181"/>
    <m/>
    <m/>
    <s v="Posted Video"/>
    <x v="1"/>
    <m/>
    <m/>
    <m/>
    <m/>
    <m/>
    <s v="RL2bROifAFs"/>
    <s v="https://www.youtube.com/watch?v=RL2bROifAFs"/>
    <m/>
    <m/>
    <x v="177"/>
    <m/>
    <m/>
    <m/>
    <m/>
    <n v="1"/>
    <n v="2"/>
    <n v="2"/>
    <m/>
    <m/>
    <m/>
    <m/>
    <m/>
    <m/>
    <m/>
    <m/>
    <m/>
  </r>
  <r>
    <s v="UCtIzL8Ug1H6BYQZt2ItSbzg"/>
    <s v="UCtIzL8Ug1H6BYQZt2ItSbzg"/>
    <s v="154, 102, 102"/>
    <n v="3"/>
    <m/>
    <n v="40"/>
    <m/>
    <m/>
    <m/>
    <m/>
    <s v="No"/>
    <n v="182"/>
    <m/>
    <m/>
    <s v="Posted Video"/>
    <x v="1"/>
    <m/>
    <m/>
    <m/>
    <m/>
    <m/>
    <s v="Fh4N2pBMuaE"/>
    <s v="https://www.youtube.com/watch?v=Fh4N2pBMuaE"/>
    <m/>
    <m/>
    <x v="178"/>
    <m/>
    <m/>
    <m/>
    <m/>
    <n v="4"/>
    <n v="2"/>
    <n v="2"/>
    <m/>
    <m/>
    <m/>
    <m/>
    <m/>
    <m/>
    <m/>
    <m/>
    <m/>
  </r>
  <r>
    <s v="UCNPwHixBIfM2rtdL5AB0pLQ"/>
    <s v="UCNPwHixBIfM2rtdL5AB0pLQ"/>
    <s v="128, 128, 128"/>
    <n v="3"/>
    <m/>
    <n v="40"/>
    <m/>
    <m/>
    <m/>
    <m/>
    <s v="No"/>
    <n v="183"/>
    <m/>
    <m/>
    <s v="Posted Video"/>
    <x v="1"/>
    <m/>
    <m/>
    <m/>
    <m/>
    <m/>
    <s v="UZH2OU7E0Nc"/>
    <s v="https://www.youtube.com/watch?v=UZH2OU7E0Nc"/>
    <m/>
    <m/>
    <x v="179"/>
    <m/>
    <m/>
    <m/>
    <m/>
    <n v="1"/>
    <n v="2"/>
    <n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9"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6">
        <item x="0"/>
        <item x="1"/>
        <item x="2"/>
        <item x="3"/>
        <item x="4"/>
        <item x="5"/>
        <item x="6"/>
        <item x="7"/>
        <item x="8"/>
        <item x="9"/>
        <item x="10"/>
        <item x="11"/>
        <item x="12"/>
        <item x="13"/>
        <item x="14"/>
        <item t="default"/>
      </items>
    </pivotField>
  </pivotFields>
  <rowFields count="3">
    <field x="43"/>
    <field x="42"/>
    <field x="25"/>
  </rowFields>
  <rowItems count="124">
    <i>
      <x v="1"/>
    </i>
    <i r="1">
      <x v="12"/>
    </i>
    <i r="2">
      <x v="341"/>
    </i>
    <i>
      <x v="3"/>
    </i>
    <i r="1">
      <x v="10"/>
    </i>
    <i r="2">
      <x v="289"/>
    </i>
    <i>
      <x v="4"/>
    </i>
    <i r="1">
      <x v="3"/>
    </i>
    <i r="2">
      <x v="78"/>
    </i>
    <i>
      <x v="5"/>
    </i>
    <i r="1">
      <x v="11"/>
    </i>
    <i r="2">
      <x v="317"/>
    </i>
    <i r="1">
      <x v="12"/>
    </i>
    <i r="2">
      <x v="344"/>
    </i>
    <i>
      <x v="6"/>
    </i>
    <i r="1">
      <x v="3"/>
    </i>
    <i r="2">
      <x v="65"/>
    </i>
    <i r="2">
      <x v="66"/>
    </i>
    <i r="1">
      <x v="9"/>
    </i>
    <i r="2">
      <x v="254"/>
    </i>
    <i r="1">
      <x v="11"/>
    </i>
    <i r="2">
      <x v="315"/>
    </i>
    <i>
      <x v="7"/>
    </i>
    <i r="1">
      <x v="5"/>
    </i>
    <i r="2">
      <x v="152"/>
    </i>
    <i r="1">
      <x v="7"/>
    </i>
    <i r="2">
      <x v="194"/>
    </i>
    <i r="1">
      <x v="9"/>
    </i>
    <i r="2">
      <x v="264"/>
    </i>
    <i>
      <x v="8"/>
    </i>
    <i r="1">
      <x v="1"/>
    </i>
    <i r="2">
      <x v="16"/>
    </i>
    <i r="2">
      <x v="21"/>
    </i>
    <i r="1">
      <x v="2"/>
    </i>
    <i r="2">
      <x v="55"/>
    </i>
    <i r="2">
      <x v="56"/>
    </i>
    <i r="1">
      <x v="7"/>
    </i>
    <i r="2">
      <x v="201"/>
    </i>
    <i>
      <x v="9"/>
    </i>
    <i r="1">
      <x v="7"/>
    </i>
    <i r="2">
      <x v="213"/>
    </i>
    <i r="1">
      <x v="8"/>
    </i>
    <i r="2">
      <x v="222"/>
    </i>
    <i r="2">
      <x v="228"/>
    </i>
    <i r="1">
      <x v="10"/>
    </i>
    <i r="2">
      <x v="279"/>
    </i>
    <i r="2">
      <x v="280"/>
    </i>
    <i r="2">
      <x v="281"/>
    </i>
    <i r="2">
      <x v="282"/>
    </i>
    <i r="2">
      <x v="283"/>
    </i>
    <i r="2">
      <x v="284"/>
    </i>
    <i r="2">
      <x v="285"/>
    </i>
    <i r="2">
      <x v="286"/>
    </i>
    <i r="2">
      <x v="289"/>
    </i>
    <i r="2">
      <x v="295"/>
    </i>
    <i r="2">
      <x v="301"/>
    </i>
    <i r="1">
      <x v="12"/>
    </i>
    <i r="2">
      <x v="358"/>
    </i>
    <i>
      <x v="11"/>
    </i>
    <i r="1">
      <x v="1"/>
    </i>
    <i r="2">
      <x v="20"/>
    </i>
    <i r="1">
      <x v="2"/>
    </i>
    <i r="2">
      <x v="34"/>
    </i>
    <i r="1">
      <x v="3"/>
    </i>
    <i r="2">
      <x v="81"/>
    </i>
    <i r="1">
      <x v="4"/>
    </i>
    <i r="2">
      <x v="107"/>
    </i>
    <i r="1">
      <x v="6"/>
    </i>
    <i r="2">
      <x v="163"/>
    </i>
    <i r="2">
      <x v="166"/>
    </i>
    <i r="1">
      <x v="7"/>
    </i>
    <i r="2">
      <x v="192"/>
    </i>
    <i r="2">
      <x v="199"/>
    </i>
    <i r="1">
      <x v="11"/>
    </i>
    <i r="2">
      <x v="317"/>
    </i>
    <i r="1">
      <x v="12"/>
    </i>
    <i r="2">
      <x v="354"/>
    </i>
    <i r="2">
      <x v="363"/>
    </i>
    <i r="2">
      <x v="364"/>
    </i>
    <i r="2">
      <x v="366"/>
    </i>
    <i>
      <x v="12"/>
    </i>
    <i r="1">
      <x v="2"/>
    </i>
    <i r="2">
      <x v="34"/>
    </i>
    <i r="2">
      <x v="35"/>
    </i>
    <i r="1">
      <x v="5"/>
    </i>
    <i r="2">
      <x v="129"/>
    </i>
    <i r="2">
      <x v="147"/>
    </i>
    <i r="1">
      <x v="6"/>
    </i>
    <i r="2">
      <x v="170"/>
    </i>
    <i r="1">
      <x v="7"/>
    </i>
    <i r="2">
      <x v="193"/>
    </i>
    <i r="1">
      <x v="9"/>
    </i>
    <i r="2">
      <x v="254"/>
    </i>
    <i r="2">
      <x v="261"/>
    </i>
    <i r="2">
      <x v="267"/>
    </i>
    <i r="2">
      <x v="268"/>
    </i>
    <i r="2">
      <x v="269"/>
    </i>
    <i r="2">
      <x v="270"/>
    </i>
    <i r="2">
      <x v="274"/>
    </i>
    <i r="1">
      <x v="11"/>
    </i>
    <i r="2">
      <x v="313"/>
    </i>
    <i r="1">
      <x v="12"/>
    </i>
    <i r="2">
      <x v="341"/>
    </i>
    <i>
      <x v="13"/>
    </i>
    <i r="1">
      <x v="1"/>
    </i>
    <i r="2">
      <x v="11"/>
    </i>
    <i r="2">
      <x v="13"/>
    </i>
    <i r="1">
      <x v="2"/>
    </i>
    <i r="2">
      <x v="59"/>
    </i>
    <i r="1">
      <x v="5"/>
    </i>
    <i r="2">
      <x v="148"/>
    </i>
    <i r="1">
      <x v="7"/>
    </i>
    <i r="2">
      <x v="184"/>
    </i>
    <i r="1">
      <x v="8"/>
    </i>
    <i r="2">
      <x v="218"/>
    </i>
    <i r="2">
      <x v="225"/>
    </i>
    <i r="2">
      <x v="227"/>
    </i>
    <i r="1">
      <x v="9"/>
    </i>
    <i r="2">
      <x v="253"/>
    </i>
    <i r="2">
      <x v="254"/>
    </i>
    <i r="2">
      <x v="255"/>
    </i>
    <i r="2">
      <x v="256"/>
    </i>
    <i r="2">
      <x v="258"/>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213157932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3" totalsRowShown="0" headerRowDxfId="330" dataDxfId="303">
  <autoFilter ref="A2:AP18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8"/>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49"/>
    <tableColumn id="34" name="Sentiment List #1: List1 Word Count" dataDxfId="48"/>
    <tableColumn id="35" name="Sentiment List #1: List1 Word Percentage (%)" dataDxfId="47"/>
    <tableColumn id="36" name="Sentiment List #2: List2 Word Count" dataDxfId="46"/>
    <tableColumn id="37" name="Sentiment List #2: List2 Word Percentage (%)" dataDxfId="45"/>
    <tableColumn id="38" name="Sentiment List #3: List3 Word Count" dataDxfId="44"/>
    <tableColumn id="39" name="Sentiment List #3: List3 Word Percentage (%)" dataDxfId="43"/>
    <tableColumn id="40" name="Non-categorized Word Count" dataDxfId="42"/>
    <tableColumn id="41" name="Non-categorized Word Percentage (%)" dataDxfId="41"/>
    <tableColumn id="42" name="Edge Content Word Count" dataDxfId="4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226" dataDxfId="225">
  <autoFilter ref="A1:G343"/>
  <tableColumns count="7">
    <tableColumn id="1" name="Word" dataDxfId="68"/>
    <tableColumn id="2" name="Count" dataDxfId="67"/>
    <tableColumn id="3" name="Salience" dataDxfId="66"/>
    <tableColumn id="4" name="Group" dataDxfId="65"/>
    <tableColumn id="5" name="Word on Sentiment List #1: List1" dataDxfId="64"/>
    <tableColumn id="6" name="Word on Sentiment List #2: List2" dataDxfId="63"/>
    <tableColumn id="7" name="Word on Sentiment List #3: List3" dataDxfId="6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 totalsRowShown="0" headerRowDxfId="224" dataDxfId="223">
  <autoFilter ref="A1:L88"/>
  <tableColumns count="12">
    <tableColumn id="1" name="Word 1" dataDxfId="61"/>
    <tableColumn id="2" name="Word 2" dataDxfId="60"/>
    <tableColumn id="3" name="Count" dataDxfId="59"/>
    <tableColumn id="4" name="Salience" dataDxfId="58"/>
    <tableColumn id="5" name="Mutual Information" dataDxfId="57"/>
    <tableColumn id="6" name="Group" dataDxfId="56"/>
    <tableColumn id="7" name="Word1 on Sentiment List #1: List1" dataDxfId="55"/>
    <tableColumn id="8" name="Word1 on Sentiment List #2: List2" dataDxfId="54"/>
    <tableColumn id="9" name="Word1 on Sentiment List #3: List3" dataDxfId="53"/>
    <tableColumn id="10" name="Word2 on Sentiment List #1: List1" dataDxfId="52"/>
    <tableColumn id="11" name="Word2 on Sentiment List #2: List2" dataDxfId="51"/>
    <tableColumn id="12" name="Word2 on Sentiment List #3: List3" dataDxfId="5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5" totalsRowShown="0" headerRowDxfId="222" dataDxfId="221">
  <autoFilter ref="A2:C15"/>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2"/>
    <tableColumn id="2" name="Value" dataDxfId="11"/>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4" totalsRowShown="0" headerRowDxfId="215" dataDxfId="214">
  <autoFilter ref="A1:V4"/>
  <tableColumns count="22">
    <tableColumn id="1" name="Top URLs In Comment in Entire Graph" dataDxfId="213"/>
    <tableColumn id="2" name="Entire Graph Count" dataDxfId="212"/>
    <tableColumn id="3" name="Top URLs In Comment in G1" dataDxfId="211"/>
    <tableColumn id="4" name="G1 Count" dataDxfId="210"/>
    <tableColumn id="5" name="Top URLs In Comment in G2" dataDxfId="209"/>
    <tableColumn id="6" name="G2 Count" dataDxfId="208"/>
    <tableColumn id="7" name="Top URLs In Comment in G3" dataDxfId="207"/>
    <tableColumn id="8" name="G3 Count" dataDxfId="206"/>
    <tableColumn id="9" name="Top URLs In Comment in G4" dataDxfId="205"/>
    <tableColumn id="10" name="G4 Count" dataDxfId="204"/>
    <tableColumn id="11" name="Top URLs In Comment in G5" dataDxfId="203"/>
    <tableColumn id="12" name="G5 Count" dataDxfId="202"/>
    <tableColumn id="13" name="Top URLs In Comment in G6" dataDxfId="201"/>
    <tableColumn id="14" name="G6 Count" dataDxfId="200"/>
    <tableColumn id="15" name="Top URLs In Comment in G7" dataDxfId="199"/>
    <tableColumn id="16" name="G7 Count" dataDxfId="198"/>
    <tableColumn id="17" name="Top URLs In Comment in G8" dataDxfId="197"/>
    <tableColumn id="18" name="G8 Count" dataDxfId="196"/>
    <tableColumn id="19" name="Top URLs In Comment in G9" dataDxfId="195"/>
    <tableColumn id="20" name="G9 Count" dataDxfId="194"/>
    <tableColumn id="21" name="Top URLs In Comment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7:V10" totalsRowShown="0" headerRowDxfId="191" dataDxfId="190">
  <autoFilter ref="A7:V10"/>
  <tableColumns count="22">
    <tableColumn id="1" name="Top Domains In Comment in Entire Graph" dataDxfId="189"/>
    <tableColumn id="2" name="Entire Graph Count" dataDxfId="188"/>
    <tableColumn id="3" name="Top Domains In Comment in G1" dataDxfId="187"/>
    <tableColumn id="4" name="G1 Count" dataDxfId="186"/>
    <tableColumn id="5" name="Top Domains In Comment in G2" dataDxfId="185"/>
    <tableColumn id="6" name="G2 Count" dataDxfId="184"/>
    <tableColumn id="7" name="Top Domains In Comment in G3" dataDxfId="183"/>
    <tableColumn id="8" name="G3 Count" dataDxfId="182"/>
    <tableColumn id="9" name="Top Domains In Comment in G4" dataDxfId="181"/>
    <tableColumn id="10" name="G4 Count" dataDxfId="180"/>
    <tableColumn id="11" name="Top Domains In Comment in G5" dataDxfId="179"/>
    <tableColumn id="12" name="G5 Count" dataDxfId="178"/>
    <tableColumn id="13" name="Top Domains In Comment in G6" dataDxfId="177"/>
    <tableColumn id="14" name="G6 Count" dataDxfId="176"/>
    <tableColumn id="15" name="Top Domains In Comment in G7" dataDxfId="175"/>
    <tableColumn id="16" name="G7 Count" dataDxfId="174"/>
    <tableColumn id="17" name="Top Domains In Comment in G8" dataDxfId="173"/>
    <tableColumn id="18" name="G8 Count" dataDxfId="172"/>
    <tableColumn id="19" name="Top Domains In Comment in G9" dataDxfId="171"/>
    <tableColumn id="20" name="G9 Count" dataDxfId="170"/>
    <tableColumn id="21" name="Top Domains In Comment in G10" dataDxfId="169"/>
    <tableColumn id="22" name="G10 Count" dataDxfId="16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13:V14" totalsRowShown="0" headerRowDxfId="167" dataDxfId="166">
  <autoFilter ref="A13:V14"/>
  <tableColumns count="22">
    <tableColumn id="1" name="Top Hashtags In Comment in Entire Graph" dataDxfId="165"/>
    <tableColumn id="2" name="Entire Graph Count" dataDxfId="164"/>
    <tableColumn id="3" name="Top Hashtags In Comment in G1" dataDxfId="163"/>
    <tableColumn id="4" name="G1 Count" dataDxfId="162"/>
    <tableColumn id="5" name="Top Hashtags In Comment in G2" dataDxfId="161"/>
    <tableColumn id="6" name="G2 Count" dataDxfId="160"/>
    <tableColumn id="7" name="Top Hashtags In Comment in G3" dataDxfId="159"/>
    <tableColumn id="8" name="G3 Count" dataDxfId="158"/>
    <tableColumn id="9" name="Top Hashtags In Comment in G4" dataDxfId="157"/>
    <tableColumn id="10" name="G4 Count" dataDxfId="156"/>
    <tableColumn id="11" name="Top Hashtags In Comment in G5" dataDxfId="155"/>
    <tableColumn id="12" name="G5 Count" dataDxfId="154"/>
    <tableColumn id="13" name="Top Hashtags In Comment in G6" dataDxfId="153"/>
    <tableColumn id="14" name="G6 Count" dataDxfId="152"/>
    <tableColumn id="15" name="Top Hashtags In Comment in G7" dataDxfId="151"/>
    <tableColumn id="16" name="G7 Count" dataDxfId="150"/>
    <tableColumn id="17" name="Top Hashtags In Comment in G8" dataDxfId="149"/>
    <tableColumn id="18" name="G8 Count" dataDxfId="148"/>
    <tableColumn id="19" name="Top Hashtags In Comment in G9" dataDxfId="147"/>
    <tableColumn id="20" name="G9 Count" dataDxfId="146"/>
    <tableColumn id="21" name="Top Hashtags In Comment in G10" dataDxfId="145"/>
    <tableColumn id="22" name="G10 Count" dataDxfId="144"/>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6:V26" totalsRowShown="0" headerRowDxfId="142" dataDxfId="141">
  <autoFilter ref="A16:V26"/>
  <tableColumns count="22">
    <tableColumn id="1" name="Top Words in Comment in Entire Graph" dataDxfId="140"/>
    <tableColumn id="2" name="Entire Graph Count" dataDxfId="139"/>
    <tableColumn id="3" name="Top Words in Comment in G1" dataDxfId="138"/>
    <tableColumn id="4" name="G1 Count" dataDxfId="137"/>
    <tableColumn id="5" name="Top Words in Comment in G2" dataDxfId="136"/>
    <tableColumn id="6" name="G2 Count" dataDxfId="135"/>
    <tableColumn id="7" name="Top Words in Comment in G3" dataDxfId="134"/>
    <tableColumn id="8" name="G3 Count" dataDxfId="133"/>
    <tableColumn id="9" name="Top Words in Comment in G4" dataDxfId="132"/>
    <tableColumn id="10" name="G4 Count" dataDxfId="131"/>
    <tableColumn id="11" name="Top Words in Comment in G5" dataDxfId="130"/>
    <tableColumn id="12" name="G5 Count" dataDxfId="129"/>
    <tableColumn id="13" name="Top Words in Comment in G6" dataDxfId="128"/>
    <tableColumn id="14" name="G6 Count" dataDxfId="127"/>
    <tableColumn id="15" name="Top Words in Comment in G7" dataDxfId="126"/>
    <tableColumn id="16" name="G7 Count" dataDxfId="125"/>
    <tableColumn id="17" name="Top Words in Comment in G8" dataDxfId="124"/>
    <tableColumn id="18" name="G8 Count" dataDxfId="123"/>
    <tableColumn id="19" name="Top Words in Comment in G9" dataDxfId="122"/>
    <tableColumn id="20" name="G9 Count" dataDxfId="121"/>
    <tableColumn id="21" name="Top Words in Comment in G10" dataDxfId="120"/>
    <tableColumn id="22" name="G10 Count" dataDxfId="1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83" totalsRowShown="0" headerRowDxfId="329" dataDxfId="302">
  <autoFilter ref="A2:BN183"/>
  <sortState ref="A3:BN183">
    <sortCondition descending="1" sortBy="value" ref="U3:U183"/>
  </sortState>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
    <tableColumn id="22" name="In-Degree" dataDxfId="6"/>
    <tableColumn id="23" name="Out-Degree" dataDxfId="4"/>
    <tableColumn id="24" name="Betweenness Centrality" dataDxfId="5"/>
    <tableColumn id="25" name="Closeness Centrality" dataDxfId="8"/>
    <tableColumn id="26" name="Eigenvector Centrality" dataDxfId="9"/>
    <tableColumn id="15" name="PageRank" dataDxfId="10"/>
    <tableColumn id="27" name="Clustering Coefficient" dataDxfId="216"/>
    <tableColumn id="29" name="Reciprocated Vertex Pair Ratio" dataDxfId="217"/>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39"/>
    <tableColumn id="48" name="Sentiment List #1: List1 Word Count" dataDxfId="38"/>
    <tableColumn id="49" name="Sentiment List #1: List1 Word Percentage (%)" dataDxfId="37"/>
    <tableColumn id="50" name="Sentiment List #2: List2 Word Count" dataDxfId="36"/>
    <tableColumn id="51" name="Sentiment List #2: List2 Word Percentage (%)" dataDxfId="35"/>
    <tableColumn id="52" name="Sentiment List #3: List3 Word Count" dataDxfId="34"/>
    <tableColumn id="53" name="Sentiment List #3: List3 Word Percentage (%)" dataDxfId="33"/>
    <tableColumn id="54" name="Non-categorized Word Count" dataDxfId="32"/>
    <tableColumn id="55" name="Non-categorized Word Percentage (%)" dataDxfId="31"/>
    <tableColumn id="56" name="Vertex Content Word Count" dataDxfId="29"/>
    <tableColumn id="57" name="URLs In Comment by Count" dataDxfId="30"/>
    <tableColumn id="58" name="URLs In Comment by Salience" dataDxfId="91"/>
    <tableColumn id="59" name="Domains In Comment by Count" dataDxfId="90"/>
    <tableColumn id="60" name="Domains In Comment by Salience" dataDxfId="89"/>
    <tableColumn id="61" name="Hashtags In Comment by Count" dataDxfId="88"/>
    <tableColumn id="62" name="Hashtags In Comment by Salience" dataDxfId="87"/>
    <tableColumn id="63" name="Top Words in Comment by Count" dataDxfId="86"/>
    <tableColumn id="64" name="Top Words in Comment by Salience" dataDxfId="85"/>
    <tableColumn id="65" name="Top Word Pairs in Comment by Count" dataDxfId="84"/>
    <tableColumn id="66" name="Top Word Pairs in Comment by Salience" dataDxfId="83"/>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9:V39" totalsRowShown="0" headerRowDxfId="117" dataDxfId="116">
  <autoFilter ref="A29:V39"/>
  <tableColumns count="22">
    <tableColumn id="1" name="Top Word Pairs in Comment in Entire Graph" dataDxfId="115"/>
    <tableColumn id="2" name="Entire Graph Count" dataDxfId="114"/>
    <tableColumn id="3" name="Top Word Pairs in Comment in G1" dataDxfId="113"/>
    <tableColumn id="4" name="G1 Count" dataDxfId="112"/>
    <tableColumn id="5" name="Top Word Pairs in Comment in G2" dataDxfId="111"/>
    <tableColumn id="6" name="G2 Count" dataDxfId="110"/>
    <tableColumn id="7" name="Top Word Pairs in Comment in G3" dataDxfId="109"/>
    <tableColumn id="8" name="G3 Count" dataDxfId="108"/>
    <tableColumn id="9" name="Top Word Pairs in Comment in G4" dataDxfId="107"/>
    <tableColumn id="10" name="G4 Count" dataDxfId="106"/>
    <tableColumn id="11" name="Top Word Pairs in Comment in G5" dataDxfId="105"/>
    <tableColumn id="12" name="G5 Count" dataDxfId="104"/>
    <tableColumn id="13" name="Top Word Pairs in Comment in G6" dataDxfId="103"/>
    <tableColumn id="14" name="G6 Count" dataDxfId="102"/>
    <tableColumn id="15" name="Top Word Pairs in Comment in G7" dataDxfId="101"/>
    <tableColumn id="16" name="G7 Count" dataDxfId="100"/>
    <tableColumn id="17" name="Top Word Pairs in Comment in G8" dataDxfId="99"/>
    <tableColumn id="18" name="G8 Count" dataDxfId="98"/>
    <tableColumn id="19" name="Top Word Pairs in Comment in G9" dataDxfId="97"/>
    <tableColumn id="20" name="G9 Count" dataDxfId="96"/>
    <tableColumn id="21" name="Top Word Pairs in Comment in G10" dataDxfId="95"/>
    <tableColumn id="22" name="G10 Count" dataDxfId="94"/>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5" totalsRowShown="0" headerRowDxfId="328">
  <autoFilter ref="A2:AL15"/>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28"/>
    <tableColumn id="23" name="Sentiment List #1: List1 Word Count" dataDxfId="27"/>
    <tableColumn id="26" name="Sentiment List #1: List1 Word Percentage (%)" dataDxfId="26"/>
    <tableColumn id="27" name="Sentiment List #2: List2 Word Count" dataDxfId="25"/>
    <tableColumn id="28" name="Sentiment List #2: List2 Word Percentage (%)" dataDxfId="24"/>
    <tableColumn id="29" name="Sentiment List #3: List3 Word Count" dataDxfId="23"/>
    <tableColumn id="30" name="Sentiment List #3: List3 Word Percentage (%)" dataDxfId="22"/>
    <tableColumn id="31" name="Non-categorized Word Count" dataDxfId="21"/>
    <tableColumn id="32" name="Non-categorized Word Percentage (%)" dataDxfId="20"/>
    <tableColumn id="33" name="Group Content Word Count" dataDxfId="18"/>
    <tableColumn id="34" name="Top URLs In Comment" dataDxfId="19"/>
    <tableColumn id="35" name="Top Domains In Comment" dataDxfId="143"/>
    <tableColumn id="36" name="Top Hashtags In Comment" dataDxfId="118"/>
    <tableColumn id="37" name="Top Words in Comment" dataDxfId="93"/>
    <tableColumn id="38" name="Top Word Pairs in Comment" dataDxfId="9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325" dataDxfId="324">
  <autoFilter ref="A1:C18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6oTKO3XiN34" TargetMode="External" /><Relationship Id="rId2" Type="http://schemas.openxmlformats.org/officeDocument/2006/relationships/hyperlink" Target="https://drive.google.com/file/d/1ssca1FWJE6FRmSYvgyCHGs_W5ocOvRI7/view?usp=drive_web" TargetMode="External" /><Relationship Id="rId3" Type="http://schemas.openxmlformats.org/officeDocument/2006/relationships/hyperlink" Target="http://www.youtube.com/results?search_query=%23healinginafrika" TargetMode="External" /><Relationship Id="rId4" Type="http://schemas.openxmlformats.org/officeDocument/2006/relationships/hyperlink" Target="http://www.youtube.com/results?search_query=%23healinginafrika" TargetMode="External" /><Relationship Id="rId5" Type="http://schemas.openxmlformats.org/officeDocument/2006/relationships/hyperlink" Target="https://drive.google.com/file/d/1ssca1FWJE6FRmSYvgyCHGs_W5ocOvRI7/view?usp=drive_web" TargetMode="External" /><Relationship Id="rId6" Type="http://schemas.openxmlformats.org/officeDocument/2006/relationships/hyperlink" Target="https://youtu.be/6oTKO3XiN34" TargetMode="Externa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3"/>
  <sheetViews>
    <sheetView workbookViewId="0" topLeftCell="A1">
      <pane xSplit="2" ySplit="2" topLeftCell="C6" activePane="bottomRight" state="frozen"/>
      <selection pane="topRight" activeCell="C1" sqref="C1"/>
      <selection pane="bottomLeft" activeCell="A3" sqref="A3"/>
      <selection pane="bottomRight" activeCell="C2" sqref="C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403</v>
      </c>
      <c r="B3" s="66" t="s">
        <v>265</v>
      </c>
      <c r="C3" s="67" t="s">
        <v>404</v>
      </c>
      <c r="D3" s="68">
        <v>3</v>
      </c>
      <c r="E3" s="69"/>
      <c r="F3" s="70">
        <v>40</v>
      </c>
      <c r="G3" s="67"/>
      <c r="H3" s="71"/>
      <c r="I3" s="72"/>
      <c r="J3" s="72"/>
      <c r="K3" s="35" t="s">
        <v>65</v>
      </c>
      <c r="L3" s="73">
        <v>3</v>
      </c>
      <c r="M3" s="73"/>
      <c r="N3" s="74"/>
      <c r="O3" s="81" t="s">
        <v>406</v>
      </c>
      <c r="P3" s="81" t="s">
        <v>197</v>
      </c>
      <c r="Q3" s="81" t="s">
        <v>549</v>
      </c>
      <c r="R3" s="81" t="s">
        <v>403</v>
      </c>
      <c r="S3" s="81" t="s">
        <v>691</v>
      </c>
      <c r="T3" s="83" t="str">
        <f>HYPERLINK("http://www.youtube.com/channel/UCrUXf4iY0j_IQGpFPsTQa1Q")</f>
        <v>http://www.youtube.com/channel/UCrUXf4iY0j_IQGpFPsTQa1Q</v>
      </c>
      <c r="U3" s="81"/>
      <c r="V3" s="81" t="s">
        <v>692</v>
      </c>
      <c r="W3" s="83" t="str">
        <f>HYPERLINK("https://www.youtube.com/watch?v=HeygX8UYhCA")</f>
        <v>https://www.youtube.com/watch?v=HeygX8UYhCA</v>
      </c>
      <c r="X3" s="81" t="s">
        <v>735</v>
      </c>
      <c r="Y3" s="81">
        <v>2</v>
      </c>
      <c r="Z3" s="85">
        <v>45178.18150462963</v>
      </c>
      <c r="AA3" s="85">
        <v>45178.184212962966</v>
      </c>
      <c r="AB3" s="81"/>
      <c r="AC3" s="81"/>
      <c r="AD3" s="81"/>
      <c r="AE3" s="81">
        <v>1</v>
      </c>
      <c r="AF3" s="81" t="str">
        <f>REPLACE(INDEX(GroupVertices[Group],MATCH(Edges[[#This Row],[Vertex 1]],GroupVertices[Vertex],0)),1,1,"")</f>
        <v>3</v>
      </c>
      <c r="AG3" s="81" t="str">
        <f>REPLACE(INDEX(GroupVertices[Group],MATCH(Edges[[#This Row],[Vertex 2]],GroupVertices[Vertex],0)),1,1,"")</f>
        <v>3</v>
      </c>
      <c r="AH3" s="49">
        <v>1</v>
      </c>
      <c r="AI3" s="110">
        <v>7.6923076923076925</v>
      </c>
      <c r="AJ3" s="49">
        <v>0</v>
      </c>
      <c r="AK3" s="50">
        <v>0</v>
      </c>
      <c r="AL3" s="49">
        <v>0</v>
      </c>
      <c r="AM3" s="50">
        <v>0</v>
      </c>
      <c r="AN3" s="49">
        <v>5</v>
      </c>
      <c r="AO3" s="110">
        <v>38.46153846153846</v>
      </c>
      <c r="AP3" s="49">
        <v>13</v>
      </c>
    </row>
    <row r="4" spans="1:42" ht="15" customHeight="1">
      <c r="A4" s="66" t="s">
        <v>223</v>
      </c>
      <c r="B4" s="66" t="s">
        <v>265</v>
      </c>
      <c r="C4" s="67" t="s">
        <v>404</v>
      </c>
      <c r="D4" s="68">
        <v>3</v>
      </c>
      <c r="E4" s="69"/>
      <c r="F4" s="70">
        <v>40</v>
      </c>
      <c r="G4" s="67"/>
      <c r="H4" s="71"/>
      <c r="I4" s="72"/>
      <c r="J4" s="72"/>
      <c r="K4" s="35" t="s">
        <v>65</v>
      </c>
      <c r="L4" s="80">
        <v>4</v>
      </c>
      <c r="M4" s="80"/>
      <c r="N4" s="74"/>
      <c r="O4" s="82" t="s">
        <v>406</v>
      </c>
      <c r="P4" s="82" t="s">
        <v>197</v>
      </c>
      <c r="Q4" s="82" t="s">
        <v>408</v>
      </c>
      <c r="R4" s="82" t="s">
        <v>223</v>
      </c>
      <c r="S4" s="82" t="s">
        <v>550</v>
      </c>
      <c r="T4" s="84" t="str">
        <f>HYPERLINK("http://www.youtube.com/channel/UCgM23NLmNQQP4rdr0z9OV6w")</f>
        <v>http://www.youtube.com/channel/UCgM23NLmNQQP4rdr0z9OV6w</v>
      </c>
      <c r="U4" s="82"/>
      <c r="V4" s="82" t="s">
        <v>692</v>
      </c>
      <c r="W4" s="84" t="str">
        <f>HYPERLINK("https://www.youtube.com/watch?v=HeygX8UYhCA")</f>
        <v>https://www.youtube.com/watch?v=HeygX8UYhCA</v>
      </c>
      <c r="X4" s="82" t="s">
        <v>735</v>
      </c>
      <c r="Y4" s="82">
        <v>1</v>
      </c>
      <c r="Z4" s="86">
        <v>45178.19395833334</v>
      </c>
      <c r="AA4" s="86">
        <v>45178.19395833334</v>
      </c>
      <c r="AB4" s="82"/>
      <c r="AC4" s="82"/>
      <c r="AD4" s="82"/>
      <c r="AE4" s="82">
        <v>1</v>
      </c>
      <c r="AF4" s="81">
        <v>3</v>
      </c>
      <c r="AG4" s="81">
        <v>3</v>
      </c>
      <c r="AH4" s="49">
        <v>1</v>
      </c>
      <c r="AI4" s="110">
        <v>1.3157894736842106</v>
      </c>
      <c r="AJ4" s="49">
        <v>0</v>
      </c>
      <c r="AK4" s="50">
        <v>0</v>
      </c>
      <c r="AL4" s="49">
        <v>0</v>
      </c>
      <c r="AM4" s="50">
        <v>0</v>
      </c>
      <c r="AN4" s="49">
        <v>23</v>
      </c>
      <c r="AO4" s="110">
        <v>30.263157894736842</v>
      </c>
      <c r="AP4" s="49">
        <v>76</v>
      </c>
    </row>
    <row r="5" spans="1:42" ht="15">
      <c r="A5" s="66" t="s">
        <v>224</v>
      </c>
      <c r="B5" s="66" t="s">
        <v>265</v>
      </c>
      <c r="C5" s="67" t="s">
        <v>404</v>
      </c>
      <c r="D5" s="68">
        <v>3</v>
      </c>
      <c r="E5" s="69"/>
      <c r="F5" s="70">
        <v>40</v>
      </c>
      <c r="G5" s="67"/>
      <c r="H5" s="71"/>
      <c r="I5" s="72"/>
      <c r="J5" s="72"/>
      <c r="K5" s="35" t="s">
        <v>65</v>
      </c>
      <c r="L5" s="80">
        <v>5</v>
      </c>
      <c r="M5" s="80"/>
      <c r="N5" s="74"/>
      <c r="O5" s="82" t="s">
        <v>406</v>
      </c>
      <c r="P5" s="82" t="s">
        <v>197</v>
      </c>
      <c r="Q5" s="82" t="s">
        <v>409</v>
      </c>
      <c r="R5" s="82" t="s">
        <v>224</v>
      </c>
      <c r="S5" s="82" t="s">
        <v>551</v>
      </c>
      <c r="T5" s="84" t="str">
        <f>HYPERLINK("http://www.youtube.com/channel/UCqXLQYDIEN1NdwqGDImJ5jA")</f>
        <v>http://www.youtube.com/channel/UCqXLQYDIEN1NdwqGDImJ5jA</v>
      </c>
      <c r="U5" s="82"/>
      <c r="V5" s="82" t="s">
        <v>692</v>
      </c>
      <c r="W5" s="84" t="str">
        <f>HYPERLINK("https://www.youtube.com/watch?v=HeygX8UYhCA")</f>
        <v>https://www.youtube.com/watch?v=HeygX8UYhCA</v>
      </c>
      <c r="X5" s="82" t="s">
        <v>735</v>
      </c>
      <c r="Y5" s="82">
        <v>8</v>
      </c>
      <c r="Z5" s="86">
        <v>45178.23746527778</v>
      </c>
      <c r="AA5" s="86">
        <v>45178.23746527778</v>
      </c>
      <c r="AB5" s="82"/>
      <c r="AC5" s="82"/>
      <c r="AD5" s="82"/>
      <c r="AE5" s="82">
        <v>1</v>
      </c>
      <c r="AF5" s="81">
        <v>3</v>
      </c>
      <c r="AG5" s="81">
        <v>3</v>
      </c>
      <c r="AH5" s="49">
        <v>0</v>
      </c>
      <c r="AI5" s="50">
        <v>0</v>
      </c>
      <c r="AJ5" s="49">
        <v>0</v>
      </c>
      <c r="AK5" s="50">
        <v>0</v>
      </c>
      <c r="AL5" s="49">
        <v>0</v>
      </c>
      <c r="AM5" s="50">
        <v>0</v>
      </c>
      <c r="AN5" s="49">
        <v>5</v>
      </c>
      <c r="AO5" s="50">
        <v>50</v>
      </c>
      <c r="AP5" s="49">
        <v>10</v>
      </c>
    </row>
    <row r="6" spans="1:42" ht="15">
      <c r="A6" s="66" t="s">
        <v>225</v>
      </c>
      <c r="B6" s="66" t="s">
        <v>265</v>
      </c>
      <c r="C6" s="67" t="s">
        <v>404</v>
      </c>
      <c r="D6" s="68">
        <v>3</v>
      </c>
      <c r="E6" s="69"/>
      <c r="F6" s="70">
        <v>40</v>
      </c>
      <c r="G6" s="67"/>
      <c r="H6" s="71"/>
      <c r="I6" s="72"/>
      <c r="J6" s="72"/>
      <c r="K6" s="35" t="s">
        <v>65</v>
      </c>
      <c r="L6" s="80">
        <v>6</v>
      </c>
      <c r="M6" s="80"/>
      <c r="N6" s="74"/>
      <c r="O6" s="82" t="s">
        <v>406</v>
      </c>
      <c r="P6" s="82" t="s">
        <v>197</v>
      </c>
      <c r="Q6" s="82" t="s">
        <v>410</v>
      </c>
      <c r="R6" s="82" t="s">
        <v>225</v>
      </c>
      <c r="S6" s="82" t="s">
        <v>552</v>
      </c>
      <c r="T6" s="84" t="str">
        <f>HYPERLINK("http://www.youtube.com/channel/UCwbTK9LMWW5Hu683te9YcRQ")</f>
        <v>http://www.youtube.com/channel/UCwbTK9LMWW5Hu683te9YcRQ</v>
      </c>
      <c r="U6" s="82"/>
      <c r="V6" s="82" t="s">
        <v>692</v>
      </c>
      <c r="W6" s="84" t="str">
        <f>HYPERLINK("https://www.youtube.com/watch?v=HeygX8UYhCA")</f>
        <v>https://www.youtube.com/watch?v=HeygX8UYhCA</v>
      </c>
      <c r="X6" s="82" t="s">
        <v>735</v>
      </c>
      <c r="Y6" s="82">
        <v>0</v>
      </c>
      <c r="Z6" s="86">
        <v>45178.25258101852</v>
      </c>
      <c r="AA6" s="86">
        <v>45178.25258101852</v>
      </c>
      <c r="AB6" s="82"/>
      <c r="AC6" s="82"/>
      <c r="AD6" s="82"/>
      <c r="AE6" s="82">
        <v>1</v>
      </c>
      <c r="AF6" s="81">
        <v>3</v>
      </c>
      <c r="AG6" s="81">
        <v>3</v>
      </c>
      <c r="AH6" s="49">
        <v>0</v>
      </c>
      <c r="AI6" s="50">
        <v>0</v>
      </c>
      <c r="AJ6" s="49">
        <v>2</v>
      </c>
      <c r="AK6" s="50">
        <v>25</v>
      </c>
      <c r="AL6" s="49">
        <v>0</v>
      </c>
      <c r="AM6" s="50">
        <v>0</v>
      </c>
      <c r="AN6" s="49">
        <v>1</v>
      </c>
      <c r="AO6" s="50">
        <v>12.5</v>
      </c>
      <c r="AP6" s="49">
        <v>8</v>
      </c>
    </row>
    <row r="7" spans="1:42" ht="15">
      <c r="A7" s="66" t="s">
        <v>226</v>
      </c>
      <c r="B7" s="66" t="s">
        <v>265</v>
      </c>
      <c r="C7" s="67" t="s">
        <v>404</v>
      </c>
      <c r="D7" s="68">
        <v>3</v>
      </c>
      <c r="E7" s="69"/>
      <c r="F7" s="70">
        <v>40</v>
      </c>
      <c r="G7" s="67"/>
      <c r="H7" s="71"/>
      <c r="I7" s="72"/>
      <c r="J7" s="72"/>
      <c r="K7" s="35" t="s">
        <v>65</v>
      </c>
      <c r="L7" s="80">
        <v>7</v>
      </c>
      <c r="M7" s="80"/>
      <c r="N7" s="74"/>
      <c r="O7" s="82" t="s">
        <v>406</v>
      </c>
      <c r="P7" s="82" t="s">
        <v>197</v>
      </c>
      <c r="Q7" s="82" t="s">
        <v>411</v>
      </c>
      <c r="R7" s="82" t="s">
        <v>226</v>
      </c>
      <c r="S7" s="82" t="s">
        <v>553</v>
      </c>
      <c r="T7" s="84" t="str">
        <f>HYPERLINK("http://www.youtube.com/channel/UCE8wRMsUR3Q2lj3izQ-yN6A")</f>
        <v>http://www.youtube.com/channel/UCE8wRMsUR3Q2lj3izQ-yN6A</v>
      </c>
      <c r="U7" s="82"/>
      <c r="V7" s="82" t="s">
        <v>692</v>
      </c>
      <c r="W7" s="84" t="str">
        <f>HYPERLINK("https://www.youtube.com/watch?v=HeygX8UYhCA")</f>
        <v>https://www.youtube.com/watch?v=HeygX8UYhCA</v>
      </c>
      <c r="X7" s="82" t="s">
        <v>735</v>
      </c>
      <c r="Y7" s="82">
        <v>11</v>
      </c>
      <c r="Z7" s="86">
        <v>45178.267476851855</v>
      </c>
      <c r="AA7" s="86">
        <v>45178.267476851855</v>
      </c>
      <c r="AB7" s="82"/>
      <c r="AC7" s="82"/>
      <c r="AD7" s="82"/>
      <c r="AE7" s="82">
        <v>1</v>
      </c>
      <c r="AF7" s="81">
        <v>3</v>
      </c>
      <c r="AG7" s="81">
        <v>3</v>
      </c>
      <c r="AH7" s="49">
        <v>4</v>
      </c>
      <c r="AI7" s="110">
        <v>7.407407407407407</v>
      </c>
      <c r="AJ7" s="49">
        <v>0</v>
      </c>
      <c r="AK7" s="50">
        <v>0</v>
      </c>
      <c r="AL7" s="49">
        <v>0</v>
      </c>
      <c r="AM7" s="50">
        <v>0</v>
      </c>
      <c r="AN7" s="49">
        <v>20</v>
      </c>
      <c r="AO7" s="110">
        <v>37.03703703703704</v>
      </c>
      <c r="AP7" s="49">
        <v>54</v>
      </c>
    </row>
    <row r="8" spans="1:42" ht="15">
      <c r="A8" s="66" t="s">
        <v>227</v>
      </c>
      <c r="B8" s="66" t="s">
        <v>265</v>
      </c>
      <c r="C8" s="67" t="s">
        <v>404</v>
      </c>
      <c r="D8" s="68">
        <v>3</v>
      </c>
      <c r="E8" s="69"/>
      <c r="F8" s="70">
        <v>40</v>
      </c>
      <c r="G8" s="67"/>
      <c r="H8" s="71"/>
      <c r="I8" s="72"/>
      <c r="J8" s="72"/>
      <c r="K8" s="35" t="s">
        <v>65</v>
      </c>
      <c r="L8" s="80">
        <v>8</v>
      </c>
      <c r="M8" s="80"/>
      <c r="N8" s="74"/>
      <c r="O8" s="82" t="s">
        <v>406</v>
      </c>
      <c r="P8" s="82" t="s">
        <v>197</v>
      </c>
      <c r="Q8" s="82" t="s">
        <v>412</v>
      </c>
      <c r="R8" s="82" t="s">
        <v>227</v>
      </c>
      <c r="S8" s="82" t="s">
        <v>554</v>
      </c>
      <c r="T8" s="84" t="str">
        <f>HYPERLINK("http://www.youtube.com/channel/UCAl9DhRv3T6VbQFhMy4ZfjA")</f>
        <v>http://www.youtube.com/channel/UCAl9DhRv3T6VbQFhMy4ZfjA</v>
      </c>
      <c r="U8" s="82"/>
      <c r="V8" s="82" t="s">
        <v>692</v>
      </c>
      <c r="W8" s="84" t="str">
        <f>HYPERLINK("https://www.youtube.com/watch?v=HeygX8UYhCA")</f>
        <v>https://www.youtube.com/watch?v=HeygX8UYhCA</v>
      </c>
      <c r="X8" s="82" t="s">
        <v>735</v>
      </c>
      <c r="Y8" s="82">
        <v>3</v>
      </c>
      <c r="Z8" s="86">
        <v>45178.470555555556</v>
      </c>
      <c r="AA8" s="86">
        <v>45178.470555555556</v>
      </c>
      <c r="AB8" s="82"/>
      <c r="AC8" s="82"/>
      <c r="AD8" s="82"/>
      <c r="AE8" s="82">
        <v>1</v>
      </c>
      <c r="AF8" s="81">
        <v>3</v>
      </c>
      <c r="AG8" s="81">
        <v>3</v>
      </c>
      <c r="AH8" s="49">
        <v>0</v>
      </c>
      <c r="AI8" s="50">
        <v>0</v>
      </c>
      <c r="AJ8" s="49">
        <v>1</v>
      </c>
      <c r="AK8" s="110">
        <v>3.7037037037037037</v>
      </c>
      <c r="AL8" s="49">
        <v>0</v>
      </c>
      <c r="AM8" s="50">
        <v>0</v>
      </c>
      <c r="AN8" s="49">
        <v>8</v>
      </c>
      <c r="AO8" s="110">
        <v>29.62962962962963</v>
      </c>
      <c r="AP8" s="49">
        <v>27</v>
      </c>
    </row>
    <row r="9" spans="1:42" ht="15">
      <c r="A9" s="66" t="s">
        <v>228</v>
      </c>
      <c r="B9" s="66" t="s">
        <v>265</v>
      </c>
      <c r="C9" s="67" t="s">
        <v>404</v>
      </c>
      <c r="D9" s="68">
        <v>3</v>
      </c>
      <c r="E9" s="69"/>
      <c r="F9" s="70">
        <v>40</v>
      </c>
      <c r="G9" s="67"/>
      <c r="H9" s="71"/>
      <c r="I9" s="72"/>
      <c r="J9" s="72"/>
      <c r="K9" s="35" t="s">
        <v>65</v>
      </c>
      <c r="L9" s="80">
        <v>9</v>
      </c>
      <c r="M9" s="80"/>
      <c r="N9" s="74"/>
      <c r="O9" s="82" t="s">
        <v>406</v>
      </c>
      <c r="P9" s="82" t="s">
        <v>197</v>
      </c>
      <c r="Q9" s="82" t="s">
        <v>413</v>
      </c>
      <c r="R9" s="82" t="s">
        <v>228</v>
      </c>
      <c r="S9" s="82" t="s">
        <v>555</v>
      </c>
      <c r="T9" s="84" t="str">
        <f>HYPERLINK("http://www.youtube.com/channel/UCqaNnkbltkl2EZ2q-f90l_w")</f>
        <v>http://www.youtube.com/channel/UCqaNnkbltkl2EZ2q-f90l_w</v>
      </c>
      <c r="U9" s="82"/>
      <c r="V9" s="82" t="s">
        <v>692</v>
      </c>
      <c r="W9" s="84" t="str">
        <f>HYPERLINK("https://www.youtube.com/watch?v=HeygX8UYhCA")</f>
        <v>https://www.youtube.com/watch?v=HeygX8UYhCA</v>
      </c>
      <c r="X9" s="82" t="s">
        <v>735</v>
      </c>
      <c r="Y9" s="82">
        <v>3</v>
      </c>
      <c r="Z9" s="86">
        <v>45178.4753125</v>
      </c>
      <c r="AA9" s="86">
        <v>45178.4753125</v>
      </c>
      <c r="AB9" s="82"/>
      <c r="AC9" s="82"/>
      <c r="AD9" s="82"/>
      <c r="AE9" s="82">
        <v>1</v>
      </c>
      <c r="AF9" s="81">
        <v>3</v>
      </c>
      <c r="AG9" s="81">
        <v>3</v>
      </c>
      <c r="AH9" s="49">
        <v>0</v>
      </c>
      <c r="AI9" s="50">
        <v>0</v>
      </c>
      <c r="AJ9" s="49">
        <v>1</v>
      </c>
      <c r="AK9" s="50">
        <v>12.5</v>
      </c>
      <c r="AL9" s="49">
        <v>0</v>
      </c>
      <c r="AM9" s="50">
        <v>0</v>
      </c>
      <c r="AN9" s="49">
        <v>4</v>
      </c>
      <c r="AO9" s="50">
        <v>50</v>
      </c>
      <c r="AP9" s="49">
        <v>8</v>
      </c>
    </row>
    <row r="10" spans="1:42" ht="15">
      <c r="A10" s="66" t="s">
        <v>229</v>
      </c>
      <c r="B10" s="66" t="s">
        <v>265</v>
      </c>
      <c r="C10" s="67" t="s">
        <v>404</v>
      </c>
      <c r="D10" s="68">
        <v>3</v>
      </c>
      <c r="E10" s="69"/>
      <c r="F10" s="70">
        <v>40</v>
      </c>
      <c r="G10" s="67"/>
      <c r="H10" s="71"/>
      <c r="I10" s="72"/>
      <c r="J10" s="72"/>
      <c r="K10" s="35" t="s">
        <v>65</v>
      </c>
      <c r="L10" s="80">
        <v>10</v>
      </c>
      <c r="M10" s="80"/>
      <c r="N10" s="74"/>
      <c r="O10" s="82" t="s">
        <v>406</v>
      </c>
      <c r="P10" s="82" t="s">
        <v>197</v>
      </c>
      <c r="Q10" s="82" t="s">
        <v>414</v>
      </c>
      <c r="R10" s="82" t="s">
        <v>229</v>
      </c>
      <c r="S10" s="82" t="s">
        <v>556</v>
      </c>
      <c r="T10" s="84" t="str">
        <f>HYPERLINK("http://www.youtube.com/channel/UCe4kPsTw5pTJC4Y1NmnxQRg")</f>
        <v>http://www.youtube.com/channel/UCe4kPsTw5pTJC4Y1NmnxQRg</v>
      </c>
      <c r="U10" s="82"/>
      <c r="V10" s="82" t="s">
        <v>692</v>
      </c>
      <c r="W10" s="84" t="str">
        <f>HYPERLINK("https://www.youtube.com/watch?v=HeygX8UYhCA")</f>
        <v>https://www.youtube.com/watch?v=HeygX8UYhCA</v>
      </c>
      <c r="X10" s="82" t="s">
        <v>735</v>
      </c>
      <c r="Y10" s="82">
        <v>6</v>
      </c>
      <c r="Z10" s="86">
        <v>45178.584131944444</v>
      </c>
      <c r="AA10" s="86">
        <v>45178.584131944444</v>
      </c>
      <c r="AB10" s="82"/>
      <c r="AC10" s="82"/>
      <c r="AD10" s="82"/>
      <c r="AE10" s="82">
        <v>1</v>
      </c>
      <c r="AF10" s="81">
        <v>3</v>
      </c>
      <c r="AG10" s="81">
        <v>3</v>
      </c>
      <c r="AH10" s="49">
        <v>0</v>
      </c>
      <c r="AI10" s="50">
        <v>0</v>
      </c>
      <c r="AJ10" s="49">
        <v>1</v>
      </c>
      <c r="AK10" s="110">
        <v>3.0303030303030303</v>
      </c>
      <c r="AL10" s="49">
        <v>0</v>
      </c>
      <c r="AM10" s="50">
        <v>0</v>
      </c>
      <c r="AN10" s="49">
        <v>11</v>
      </c>
      <c r="AO10" s="110">
        <v>33.333333333333336</v>
      </c>
      <c r="AP10" s="49">
        <v>33</v>
      </c>
    </row>
    <row r="11" spans="1:42" ht="15">
      <c r="A11" s="66" t="s">
        <v>230</v>
      </c>
      <c r="B11" s="66" t="s">
        <v>265</v>
      </c>
      <c r="C11" s="67" t="s">
        <v>404</v>
      </c>
      <c r="D11" s="68">
        <v>3</v>
      </c>
      <c r="E11" s="69"/>
      <c r="F11" s="70">
        <v>40</v>
      </c>
      <c r="G11" s="67"/>
      <c r="H11" s="71"/>
      <c r="I11" s="72"/>
      <c r="J11" s="72"/>
      <c r="K11" s="35" t="s">
        <v>65</v>
      </c>
      <c r="L11" s="80">
        <v>11</v>
      </c>
      <c r="M11" s="80"/>
      <c r="N11" s="74"/>
      <c r="O11" s="82" t="s">
        <v>406</v>
      </c>
      <c r="P11" s="82" t="s">
        <v>197</v>
      </c>
      <c r="Q11" s="82" t="s">
        <v>415</v>
      </c>
      <c r="R11" s="82" t="s">
        <v>230</v>
      </c>
      <c r="S11" s="82" t="s">
        <v>557</v>
      </c>
      <c r="T11" s="84" t="str">
        <f>HYPERLINK("http://www.youtube.com/channel/UC0LCq_OqhMElPUSFvxbp_WQ")</f>
        <v>http://www.youtube.com/channel/UC0LCq_OqhMElPUSFvxbp_WQ</v>
      </c>
      <c r="U11" s="82"/>
      <c r="V11" s="82" t="s">
        <v>692</v>
      </c>
      <c r="W11" s="84" t="str">
        <f>HYPERLINK("https://www.youtube.com/watch?v=HeygX8UYhCA")</f>
        <v>https://www.youtube.com/watch?v=HeygX8UYhCA</v>
      </c>
      <c r="X11" s="82" t="s">
        <v>735</v>
      </c>
      <c r="Y11" s="82">
        <v>0</v>
      </c>
      <c r="Z11" s="86">
        <v>45178.6772337963</v>
      </c>
      <c r="AA11" s="86">
        <v>45178.6772337963</v>
      </c>
      <c r="AB11" s="82"/>
      <c r="AC11" s="82"/>
      <c r="AD11" s="82"/>
      <c r="AE11" s="82">
        <v>1</v>
      </c>
      <c r="AF11" s="81">
        <v>3</v>
      </c>
      <c r="AG11" s="81">
        <v>3</v>
      </c>
      <c r="AH11" s="49">
        <v>1</v>
      </c>
      <c r="AI11" s="110">
        <v>6.666666666666667</v>
      </c>
      <c r="AJ11" s="49">
        <v>4</v>
      </c>
      <c r="AK11" s="110">
        <v>26.666666666666668</v>
      </c>
      <c r="AL11" s="49">
        <v>0</v>
      </c>
      <c r="AM11" s="50">
        <v>0</v>
      </c>
      <c r="AN11" s="49">
        <v>1</v>
      </c>
      <c r="AO11" s="110">
        <v>6.666666666666667</v>
      </c>
      <c r="AP11" s="49">
        <v>15</v>
      </c>
    </row>
    <row r="12" spans="1:42" ht="15">
      <c r="A12" s="66" t="s">
        <v>231</v>
      </c>
      <c r="B12" s="66" t="s">
        <v>265</v>
      </c>
      <c r="C12" s="67" t="s">
        <v>404</v>
      </c>
      <c r="D12" s="68">
        <v>3</v>
      </c>
      <c r="E12" s="69"/>
      <c r="F12" s="70">
        <v>40</v>
      </c>
      <c r="G12" s="67"/>
      <c r="H12" s="71"/>
      <c r="I12" s="72"/>
      <c r="J12" s="72"/>
      <c r="K12" s="35" t="s">
        <v>65</v>
      </c>
      <c r="L12" s="80">
        <v>12</v>
      </c>
      <c r="M12" s="80"/>
      <c r="N12" s="74"/>
      <c r="O12" s="82" t="s">
        <v>406</v>
      </c>
      <c r="P12" s="82" t="s">
        <v>197</v>
      </c>
      <c r="Q12" s="82" t="s">
        <v>416</v>
      </c>
      <c r="R12" s="82" t="s">
        <v>231</v>
      </c>
      <c r="S12" s="82" t="s">
        <v>558</v>
      </c>
      <c r="T12" s="84" t="str">
        <f>HYPERLINK("http://www.youtube.com/channel/UCgFqD3On_ANmpXNY5EOG2HA")</f>
        <v>http://www.youtube.com/channel/UCgFqD3On_ANmpXNY5EOG2HA</v>
      </c>
      <c r="U12" s="82"/>
      <c r="V12" s="82" t="s">
        <v>692</v>
      </c>
      <c r="W12" s="84" t="str">
        <f>HYPERLINK("https://www.youtube.com/watch?v=HeygX8UYhCA")</f>
        <v>https://www.youtube.com/watch?v=HeygX8UYhCA</v>
      </c>
      <c r="X12" s="82" t="s">
        <v>735</v>
      </c>
      <c r="Y12" s="82">
        <v>1</v>
      </c>
      <c r="Z12" s="86">
        <v>45178.79415509259</v>
      </c>
      <c r="AA12" s="86">
        <v>45178.79415509259</v>
      </c>
      <c r="AB12" s="82"/>
      <c r="AC12" s="82"/>
      <c r="AD12" s="82"/>
      <c r="AE12" s="82">
        <v>1</v>
      </c>
      <c r="AF12" s="81">
        <v>3</v>
      </c>
      <c r="AG12" s="81">
        <v>3</v>
      </c>
      <c r="AH12" s="49">
        <v>0</v>
      </c>
      <c r="AI12" s="50">
        <v>0</v>
      </c>
      <c r="AJ12" s="49">
        <v>0</v>
      </c>
      <c r="AK12" s="50">
        <v>0</v>
      </c>
      <c r="AL12" s="49">
        <v>0</v>
      </c>
      <c r="AM12" s="50">
        <v>0</v>
      </c>
      <c r="AN12" s="49">
        <v>0</v>
      </c>
      <c r="AO12" s="50">
        <v>0</v>
      </c>
      <c r="AP12" s="49">
        <v>3</v>
      </c>
    </row>
    <row r="13" spans="1:42" ht="15">
      <c r="A13" s="66" t="s">
        <v>232</v>
      </c>
      <c r="B13" s="66" t="s">
        <v>265</v>
      </c>
      <c r="C13" s="67" t="s">
        <v>404</v>
      </c>
      <c r="D13" s="68">
        <v>3</v>
      </c>
      <c r="E13" s="69"/>
      <c r="F13" s="70">
        <v>40</v>
      </c>
      <c r="G13" s="67"/>
      <c r="H13" s="71"/>
      <c r="I13" s="72"/>
      <c r="J13" s="72"/>
      <c r="K13" s="35" t="s">
        <v>65</v>
      </c>
      <c r="L13" s="80">
        <v>13</v>
      </c>
      <c r="M13" s="80"/>
      <c r="N13" s="74"/>
      <c r="O13" s="82" t="s">
        <v>406</v>
      </c>
      <c r="P13" s="82" t="s">
        <v>197</v>
      </c>
      <c r="Q13" s="82" t="s">
        <v>417</v>
      </c>
      <c r="R13" s="82" t="s">
        <v>232</v>
      </c>
      <c r="S13" s="82" t="s">
        <v>559</v>
      </c>
      <c r="T13" s="84" t="str">
        <f>HYPERLINK("http://www.youtube.com/channel/UCOpDvOhCc0NB81DNvZeVQNg")</f>
        <v>http://www.youtube.com/channel/UCOpDvOhCc0NB81DNvZeVQNg</v>
      </c>
      <c r="U13" s="82"/>
      <c r="V13" s="82" t="s">
        <v>692</v>
      </c>
      <c r="W13" s="84" t="str">
        <f>HYPERLINK("https://www.youtube.com/watch?v=HeygX8UYhCA")</f>
        <v>https://www.youtube.com/watch?v=HeygX8UYhCA</v>
      </c>
      <c r="X13" s="82" t="s">
        <v>735</v>
      </c>
      <c r="Y13" s="82">
        <v>3</v>
      </c>
      <c r="Z13" s="86">
        <v>45178.79429398148</v>
      </c>
      <c r="AA13" s="86">
        <v>45178.79429398148</v>
      </c>
      <c r="AB13" s="82"/>
      <c r="AC13" s="82"/>
      <c r="AD13" s="82"/>
      <c r="AE13" s="82">
        <v>1</v>
      </c>
      <c r="AF13" s="81">
        <v>3</v>
      </c>
      <c r="AG13" s="81">
        <v>3</v>
      </c>
      <c r="AH13" s="49">
        <v>0</v>
      </c>
      <c r="AI13" s="50">
        <v>0</v>
      </c>
      <c r="AJ13" s="49">
        <v>1</v>
      </c>
      <c r="AK13" s="50">
        <v>12.5</v>
      </c>
      <c r="AL13" s="49">
        <v>0</v>
      </c>
      <c r="AM13" s="50">
        <v>0</v>
      </c>
      <c r="AN13" s="49">
        <v>0</v>
      </c>
      <c r="AO13" s="50">
        <v>0</v>
      </c>
      <c r="AP13" s="49">
        <v>8</v>
      </c>
    </row>
    <row r="14" spans="1:42" ht="15">
      <c r="A14" s="66" t="s">
        <v>233</v>
      </c>
      <c r="B14" s="66" t="s">
        <v>265</v>
      </c>
      <c r="C14" s="67" t="s">
        <v>404</v>
      </c>
      <c r="D14" s="68">
        <v>3</v>
      </c>
      <c r="E14" s="69"/>
      <c r="F14" s="70">
        <v>40</v>
      </c>
      <c r="G14" s="67"/>
      <c r="H14" s="71"/>
      <c r="I14" s="72"/>
      <c r="J14" s="72"/>
      <c r="K14" s="35" t="s">
        <v>65</v>
      </c>
      <c r="L14" s="80">
        <v>14</v>
      </c>
      <c r="M14" s="80"/>
      <c r="N14" s="74"/>
      <c r="O14" s="82" t="s">
        <v>406</v>
      </c>
      <c r="P14" s="82" t="s">
        <v>197</v>
      </c>
      <c r="Q14" s="82" t="s">
        <v>418</v>
      </c>
      <c r="R14" s="82" t="s">
        <v>233</v>
      </c>
      <c r="S14" s="82" t="s">
        <v>560</v>
      </c>
      <c r="T14" s="84" t="str">
        <f>HYPERLINK("http://www.youtube.com/channel/UCwrvFEDIvasD8EesYt-_VlA")</f>
        <v>http://www.youtube.com/channel/UCwrvFEDIvasD8EesYt-_VlA</v>
      </c>
      <c r="U14" s="82"/>
      <c r="V14" s="82" t="s">
        <v>692</v>
      </c>
      <c r="W14" s="84" t="str">
        <f>HYPERLINK("https://www.youtube.com/watch?v=HeygX8UYhCA")</f>
        <v>https://www.youtube.com/watch?v=HeygX8UYhCA</v>
      </c>
      <c r="X14" s="82" t="s">
        <v>735</v>
      </c>
      <c r="Y14" s="82">
        <v>0</v>
      </c>
      <c r="Z14" s="86">
        <v>45178.82922453704</v>
      </c>
      <c r="AA14" s="86">
        <v>45178.82922453704</v>
      </c>
      <c r="AB14" s="82"/>
      <c r="AC14" s="82"/>
      <c r="AD14" s="82"/>
      <c r="AE14" s="82">
        <v>1</v>
      </c>
      <c r="AF14" s="81">
        <v>3</v>
      </c>
      <c r="AG14" s="81">
        <v>3</v>
      </c>
      <c r="AH14" s="49">
        <v>0</v>
      </c>
      <c r="AI14" s="50">
        <v>0</v>
      </c>
      <c r="AJ14" s="49">
        <v>0</v>
      </c>
      <c r="AK14" s="50">
        <v>0</v>
      </c>
      <c r="AL14" s="49">
        <v>0</v>
      </c>
      <c r="AM14" s="50">
        <v>0</v>
      </c>
      <c r="AN14" s="49">
        <v>2</v>
      </c>
      <c r="AO14" s="50">
        <v>25</v>
      </c>
      <c r="AP14" s="49">
        <v>8</v>
      </c>
    </row>
    <row r="15" spans="1:42" ht="15">
      <c r="A15" s="66" t="s">
        <v>234</v>
      </c>
      <c r="B15" s="66" t="s">
        <v>265</v>
      </c>
      <c r="C15" s="67" t="s">
        <v>404</v>
      </c>
      <c r="D15" s="68">
        <v>3</v>
      </c>
      <c r="E15" s="69"/>
      <c r="F15" s="70">
        <v>40</v>
      </c>
      <c r="G15" s="67"/>
      <c r="H15" s="71"/>
      <c r="I15" s="72"/>
      <c r="J15" s="72"/>
      <c r="K15" s="35" t="s">
        <v>65</v>
      </c>
      <c r="L15" s="80">
        <v>15</v>
      </c>
      <c r="M15" s="80"/>
      <c r="N15" s="74"/>
      <c r="O15" s="82" t="s">
        <v>406</v>
      </c>
      <c r="P15" s="82" t="s">
        <v>197</v>
      </c>
      <c r="Q15" s="82" t="s">
        <v>419</v>
      </c>
      <c r="R15" s="82" t="s">
        <v>234</v>
      </c>
      <c r="S15" s="82" t="s">
        <v>561</v>
      </c>
      <c r="T15" s="84" t="str">
        <f>HYPERLINK("http://www.youtube.com/channel/UC4JGtkkIk0ZUCg_EDa_A5og")</f>
        <v>http://www.youtube.com/channel/UC4JGtkkIk0ZUCg_EDa_A5og</v>
      </c>
      <c r="U15" s="82"/>
      <c r="V15" s="82" t="s">
        <v>692</v>
      </c>
      <c r="W15" s="84" t="str">
        <f>HYPERLINK("https://www.youtube.com/watch?v=HeygX8UYhCA")</f>
        <v>https://www.youtube.com/watch?v=HeygX8UYhCA</v>
      </c>
      <c r="X15" s="82" t="s">
        <v>735</v>
      </c>
      <c r="Y15" s="82">
        <v>2</v>
      </c>
      <c r="Z15" s="86">
        <v>45179.86491898148</v>
      </c>
      <c r="AA15" s="86">
        <v>45179.86491898148</v>
      </c>
      <c r="AB15" s="82"/>
      <c r="AC15" s="82"/>
      <c r="AD15" s="82"/>
      <c r="AE15" s="82">
        <v>1</v>
      </c>
      <c r="AF15" s="81">
        <v>3</v>
      </c>
      <c r="AG15" s="81">
        <v>3</v>
      </c>
      <c r="AH15" s="49">
        <v>0</v>
      </c>
      <c r="AI15" s="50">
        <v>0</v>
      </c>
      <c r="AJ15" s="49">
        <v>1</v>
      </c>
      <c r="AK15" s="110">
        <v>7.142857142857143</v>
      </c>
      <c r="AL15" s="49">
        <v>0</v>
      </c>
      <c r="AM15" s="50">
        <v>0</v>
      </c>
      <c r="AN15" s="49">
        <v>7</v>
      </c>
      <c r="AO15" s="50">
        <v>50</v>
      </c>
      <c r="AP15" s="49">
        <v>14</v>
      </c>
    </row>
    <row r="16" spans="1:42" ht="15">
      <c r="A16" s="66" t="s">
        <v>235</v>
      </c>
      <c r="B16" s="66" t="s">
        <v>265</v>
      </c>
      <c r="C16" s="67" t="s">
        <v>404</v>
      </c>
      <c r="D16" s="68">
        <v>3</v>
      </c>
      <c r="E16" s="69"/>
      <c r="F16" s="70">
        <v>40</v>
      </c>
      <c r="G16" s="67"/>
      <c r="H16" s="71"/>
      <c r="I16" s="72"/>
      <c r="J16" s="72"/>
      <c r="K16" s="35" t="s">
        <v>65</v>
      </c>
      <c r="L16" s="80">
        <v>16</v>
      </c>
      <c r="M16" s="80"/>
      <c r="N16" s="74"/>
      <c r="O16" s="82" t="s">
        <v>406</v>
      </c>
      <c r="P16" s="82" t="s">
        <v>197</v>
      </c>
      <c r="Q16" s="82" t="s">
        <v>420</v>
      </c>
      <c r="R16" s="82" t="s">
        <v>235</v>
      </c>
      <c r="S16" s="82" t="s">
        <v>562</v>
      </c>
      <c r="T16" s="84" t="str">
        <f>HYPERLINK("http://www.youtube.com/channel/UCQuMHlEhwyQy55RLe_ZX2ww")</f>
        <v>http://www.youtube.com/channel/UCQuMHlEhwyQy55RLe_ZX2ww</v>
      </c>
      <c r="U16" s="82"/>
      <c r="V16" s="82" t="s">
        <v>692</v>
      </c>
      <c r="W16" s="84" t="str">
        <f>HYPERLINK("https://www.youtube.com/watch?v=HeygX8UYhCA")</f>
        <v>https://www.youtube.com/watch?v=HeygX8UYhCA</v>
      </c>
      <c r="X16" s="82" t="s">
        <v>735</v>
      </c>
      <c r="Y16" s="82">
        <v>1</v>
      </c>
      <c r="Z16" s="86">
        <v>45180.04833333333</v>
      </c>
      <c r="AA16" s="86">
        <v>45180.04833333333</v>
      </c>
      <c r="AB16" s="82"/>
      <c r="AC16" s="82"/>
      <c r="AD16" s="82"/>
      <c r="AE16" s="82">
        <v>1</v>
      </c>
      <c r="AF16" s="81">
        <v>3</v>
      </c>
      <c r="AG16" s="81">
        <v>3</v>
      </c>
      <c r="AH16" s="49">
        <v>1</v>
      </c>
      <c r="AI16" s="110">
        <v>7.6923076923076925</v>
      </c>
      <c r="AJ16" s="49">
        <v>0</v>
      </c>
      <c r="AK16" s="50">
        <v>0</v>
      </c>
      <c r="AL16" s="49">
        <v>0</v>
      </c>
      <c r="AM16" s="50">
        <v>0</v>
      </c>
      <c r="AN16" s="49">
        <v>4</v>
      </c>
      <c r="AO16" s="110">
        <v>30.76923076923077</v>
      </c>
      <c r="AP16" s="49">
        <v>13</v>
      </c>
    </row>
    <row r="17" spans="1:42" ht="15">
      <c r="A17" s="66" t="s">
        <v>236</v>
      </c>
      <c r="B17" s="66" t="s">
        <v>265</v>
      </c>
      <c r="C17" s="67" t="s">
        <v>1783</v>
      </c>
      <c r="D17" s="68">
        <v>3</v>
      </c>
      <c r="E17" s="69"/>
      <c r="F17" s="70">
        <v>40</v>
      </c>
      <c r="G17" s="67"/>
      <c r="H17" s="71"/>
      <c r="I17" s="72"/>
      <c r="J17" s="72"/>
      <c r="K17" s="35" t="s">
        <v>65</v>
      </c>
      <c r="L17" s="80">
        <v>17</v>
      </c>
      <c r="M17" s="80"/>
      <c r="N17" s="74"/>
      <c r="O17" s="82" t="s">
        <v>406</v>
      </c>
      <c r="P17" s="82" t="s">
        <v>197</v>
      </c>
      <c r="Q17" s="82" t="s">
        <v>421</v>
      </c>
      <c r="R17" s="82" t="s">
        <v>236</v>
      </c>
      <c r="S17" s="82" t="s">
        <v>563</v>
      </c>
      <c r="T17" s="84" t="str">
        <f>HYPERLINK("http://www.youtube.com/channel/UCJXrvYl_yi07f2WQ4bBi61A")</f>
        <v>http://www.youtube.com/channel/UCJXrvYl_yi07f2WQ4bBi61A</v>
      </c>
      <c r="U17" s="82"/>
      <c r="V17" s="82" t="s">
        <v>692</v>
      </c>
      <c r="W17" s="84" t="str">
        <f>HYPERLINK("https://www.youtube.com/watch?v=HeygX8UYhCA")</f>
        <v>https://www.youtube.com/watch?v=HeygX8UYhCA</v>
      </c>
      <c r="X17" s="82" t="s">
        <v>735</v>
      </c>
      <c r="Y17" s="82">
        <v>0</v>
      </c>
      <c r="Z17" s="86">
        <v>45180.93152777778</v>
      </c>
      <c r="AA17" s="86">
        <v>45180.93152777778</v>
      </c>
      <c r="AB17" s="82"/>
      <c r="AC17" s="82"/>
      <c r="AD17" s="82"/>
      <c r="AE17" s="82">
        <v>4</v>
      </c>
      <c r="AF17" s="81">
        <v>3</v>
      </c>
      <c r="AG17" s="81">
        <v>3</v>
      </c>
      <c r="AH17" s="49">
        <v>0</v>
      </c>
      <c r="AI17" s="50">
        <v>0</v>
      </c>
      <c r="AJ17" s="49">
        <v>1</v>
      </c>
      <c r="AK17" s="110">
        <v>4.761904761904762</v>
      </c>
      <c r="AL17" s="49">
        <v>0</v>
      </c>
      <c r="AM17" s="50">
        <v>0</v>
      </c>
      <c r="AN17" s="49">
        <v>8</v>
      </c>
      <c r="AO17" s="110">
        <v>38.095238095238095</v>
      </c>
      <c r="AP17" s="49">
        <v>21</v>
      </c>
    </row>
    <row r="18" spans="1:42" ht="15">
      <c r="A18" s="66" t="s">
        <v>237</v>
      </c>
      <c r="B18" s="66" t="s">
        <v>265</v>
      </c>
      <c r="C18" s="67" t="s">
        <v>404</v>
      </c>
      <c r="D18" s="68">
        <v>3</v>
      </c>
      <c r="E18" s="69"/>
      <c r="F18" s="70">
        <v>40</v>
      </c>
      <c r="G18" s="67"/>
      <c r="H18" s="71"/>
      <c r="I18" s="72"/>
      <c r="J18" s="72"/>
      <c r="K18" s="35" t="s">
        <v>65</v>
      </c>
      <c r="L18" s="80">
        <v>18</v>
      </c>
      <c r="M18" s="80"/>
      <c r="N18" s="74"/>
      <c r="O18" s="82" t="s">
        <v>406</v>
      </c>
      <c r="P18" s="82" t="s">
        <v>197</v>
      </c>
      <c r="Q18" s="82" t="s">
        <v>422</v>
      </c>
      <c r="R18" s="82" t="s">
        <v>237</v>
      </c>
      <c r="S18" s="82" t="s">
        <v>564</v>
      </c>
      <c r="T18" s="84" t="str">
        <f>HYPERLINK("http://www.youtube.com/channel/UC4xnqWp5r7wANtgDOImNqFg")</f>
        <v>http://www.youtube.com/channel/UC4xnqWp5r7wANtgDOImNqFg</v>
      </c>
      <c r="U18" s="82"/>
      <c r="V18" s="82" t="s">
        <v>692</v>
      </c>
      <c r="W18" s="84" t="str">
        <f>HYPERLINK("https://www.youtube.com/watch?v=HeygX8UYhCA")</f>
        <v>https://www.youtube.com/watch?v=HeygX8UYhCA</v>
      </c>
      <c r="X18" s="82" t="s">
        <v>735</v>
      </c>
      <c r="Y18" s="82">
        <v>0</v>
      </c>
      <c r="Z18" s="86">
        <v>45181.51783564815</v>
      </c>
      <c r="AA18" s="86">
        <v>45181.51820601852</v>
      </c>
      <c r="AB18" s="82"/>
      <c r="AC18" s="82"/>
      <c r="AD18" s="82"/>
      <c r="AE18" s="82">
        <v>1</v>
      </c>
      <c r="AF18" s="81">
        <v>3</v>
      </c>
      <c r="AG18" s="81">
        <v>3</v>
      </c>
      <c r="AH18" s="49">
        <v>0</v>
      </c>
      <c r="AI18" s="50">
        <v>0</v>
      </c>
      <c r="AJ18" s="49">
        <v>6</v>
      </c>
      <c r="AK18" s="110">
        <v>26.08695652173913</v>
      </c>
      <c r="AL18" s="49">
        <v>0</v>
      </c>
      <c r="AM18" s="50">
        <v>0</v>
      </c>
      <c r="AN18" s="49">
        <v>13</v>
      </c>
      <c r="AO18" s="110">
        <v>56.52173913043478</v>
      </c>
      <c r="AP18" s="49">
        <v>23</v>
      </c>
    </row>
    <row r="19" spans="1:42" ht="15">
      <c r="A19" s="66" t="s">
        <v>238</v>
      </c>
      <c r="B19" s="66" t="s">
        <v>242</v>
      </c>
      <c r="C19" s="67" t="s">
        <v>404</v>
      </c>
      <c r="D19" s="68">
        <v>3</v>
      </c>
      <c r="E19" s="69"/>
      <c r="F19" s="70">
        <v>40</v>
      </c>
      <c r="G19" s="67"/>
      <c r="H19" s="71"/>
      <c r="I19" s="72"/>
      <c r="J19" s="72"/>
      <c r="K19" s="35" t="s">
        <v>65</v>
      </c>
      <c r="L19" s="80">
        <v>19</v>
      </c>
      <c r="M19" s="80"/>
      <c r="N19" s="74"/>
      <c r="O19" s="82" t="s">
        <v>406</v>
      </c>
      <c r="P19" s="82" t="s">
        <v>197</v>
      </c>
      <c r="Q19" s="82" t="s">
        <v>423</v>
      </c>
      <c r="R19" s="82" t="s">
        <v>238</v>
      </c>
      <c r="S19" s="82" t="s">
        <v>565</v>
      </c>
      <c r="T19" s="84" t="str">
        <f>HYPERLINK("http://www.youtube.com/channel/UC84iafmAbgYg2oa_-3QUUKQ")</f>
        <v>http://www.youtube.com/channel/UC84iafmAbgYg2oa_-3QUUKQ</v>
      </c>
      <c r="U19" s="82"/>
      <c r="V19" s="82" t="s">
        <v>693</v>
      </c>
      <c r="W19" s="84" t="str">
        <f>HYPERLINK("https://www.youtube.com/watch?v=gjQ2b6eCf5M")</f>
        <v>https://www.youtube.com/watch?v=gjQ2b6eCf5M</v>
      </c>
      <c r="X19" s="82" t="s">
        <v>735</v>
      </c>
      <c r="Y19" s="82">
        <v>0</v>
      </c>
      <c r="Z19" s="86">
        <v>44559.01443287037</v>
      </c>
      <c r="AA19" s="86">
        <v>44559.01443287037</v>
      </c>
      <c r="AB19" s="82"/>
      <c r="AC19" s="82"/>
      <c r="AD19" s="82"/>
      <c r="AE19" s="82">
        <v>1</v>
      </c>
      <c r="AF19" s="81">
        <v>5</v>
      </c>
      <c r="AG19" s="81">
        <v>5</v>
      </c>
      <c r="AH19" s="49">
        <v>0</v>
      </c>
      <c r="AI19" s="50">
        <v>0</v>
      </c>
      <c r="AJ19" s="49">
        <v>0</v>
      </c>
      <c r="AK19" s="50">
        <v>0</v>
      </c>
      <c r="AL19" s="49">
        <v>0</v>
      </c>
      <c r="AM19" s="50">
        <v>0</v>
      </c>
      <c r="AN19" s="49">
        <v>1</v>
      </c>
      <c r="AO19" s="110">
        <v>33.333333333333336</v>
      </c>
      <c r="AP19" s="49">
        <v>3</v>
      </c>
    </row>
    <row r="20" spans="1:42" ht="15">
      <c r="A20" s="66" t="s">
        <v>239</v>
      </c>
      <c r="B20" s="66" t="s">
        <v>242</v>
      </c>
      <c r="C20" s="67" t="s">
        <v>404</v>
      </c>
      <c r="D20" s="68">
        <v>3</v>
      </c>
      <c r="E20" s="69"/>
      <c r="F20" s="70">
        <v>40</v>
      </c>
      <c r="G20" s="67"/>
      <c r="H20" s="71"/>
      <c r="I20" s="72"/>
      <c r="J20" s="72"/>
      <c r="K20" s="35" t="s">
        <v>65</v>
      </c>
      <c r="L20" s="80">
        <v>20</v>
      </c>
      <c r="M20" s="80"/>
      <c r="N20" s="74"/>
      <c r="O20" s="82" t="s">
        <v>406</v>
      </c>
      <c r="P20" s="82" t="s">
        <v>197</v>
      </c>
      <c r="Q20" s="82" t="s">
        <v>424</v>
      </c>
      <c r="R20" s="82" t="s">
        <v>239</v>
      </c>
      <c r="S20" s="82" t="s">
        <v>566</v>
      </c>
      <c r="T20" s="84" t="str">
        <f>HYPERLINK("http://www.youtube.com/channel/UCSyJCoAav3PDjONN0T4xdjw")</f>
        <v>http://www.youtube.com/channel/UCSyJCoAav3PDjONN0T4xdjw</v>
      </c>
      <c r="U20" s="82"/>
      <c r="V20" s="82" t="s">
        <v>693</v>
      </c>
      <c r="W20" s="84" t="str">
        <f>HYPERLINK("https://www.youtube.com/watch?v=gjQ2b6eCf5M")</f>
        <v>https://www.youtube.com/watch?v=gjQ2b6eCf5M</v>
      </c>
      <c r="X20" s="82" t="s">
        <v>735</v>
      </c>
      <c r="Y20" s="82">
        <v>0</v>
      </c>
      <c r="Z20" s="86">
        <v>44559.072858796295</v>
      </c>
      <c r="AA20" s="86">
        <v>44559.072858796295</v>
      </c>
      <c r="AB20" s="82"/>
      <c r="AC20" s="82"/>
      <c r="AD20" s="82"/>
      <c r="AE20" s="82">
        <v>1</v>
      </c>
      <c r="AF20" s="81">
        <v>5</v>
      </c>
      <c r="AG20" s="81">
        <v>5</v>
      </c>
      <c r="AH20" s="49">
        <v>3</v>
      </c>
      <c r="AI20" s="110">
        <v>15.789473684210526</v>
      </c>
      <c r="AJ20" s="49">
        <v>0</v>
      </c>
      <c r="AK20" s="50">
        <v>0</v>
      </c>
      <c r="AL20" s="49">
        <v>0</v>
      </c>
      <c r="AM20" s="50">
        <v>0</v>
      </c>
      <c r="AN20" s="49">
        <v>5</v>
      </c>
      <c r="AO20" s="110">
        <v>26.31578947368421</v>
      </c>
      <c r="AP20" s="49">
        <v>19</v>
      </c>
    </row>
    <row r="21" spans="1:42" ht="15">
      <c r="A21" s="66" t="s">
        <v>240</v>
      </c>
      <c r="B21" s="66" t="s">
        <v>242</v>
      </c>
      <c r="C21" s="67" t="s">
        <v>404</v>
      </c>
      <c r="D21" s="68">
        <v>3</v>
      </c>
      <c r="E21" s="69"/>
      <c r="F21" s="70">
        <v>40</v>
      </c>
      <c r="G21" s="67"/>
      <c r="H21" s="71"/>
      <c r="I21" s="72"/>
      <c r="J21" s="72"/>
      <c r="K21" s="35" t="s">
        <v>65</v>
      </c>
      <c r="L21" s="80">
        <v>21</v>
      </c>
      <c r="M21" s="80"/>
      <c r="N21" s="74"/>
      <c r="O21" s="82" t="s">
        <v>406</v>
      </c>
      <c r="P21" s="82" t="s">
        <v>197</v>
      </c>
      <c r="Q21" s="82" t="s">
        <v>425</v>
      </c>
      <c r="R21" s="82" t="s">
        <v>240</v>
      </c>
      <c r="S21" s="82" t="s">
        <v>567</v>
      </c>
      <c r="T21" s="84" t="str">
        <f>HYPERLINK("http://www.youtube.com/channel/UCvkAeUr1JJ61Grs40E-fSGQ")</f>
        <v>http://www.youtube.com/channel/UCvkAeUr1JJ61Grs40E-fSGQ</v>
      </c>
      <c r="U21" s="82"/>
      <c r="V21" s="82" t="s">
        <v>693</v>
      </c>
      <c r="W21" s="84" t="str">
        <f>HYPERLINK("https://www.youtube.com/watch?v=gjQ2b6eCf5M")</f>
        <v>https://www.youtube.com/watch?v=gjQ2b6eCf5M</v>
      </c>
      <c r="X21" s="82" t="s">
        <v>735</v>
      </c>
      <c r="Y21" s="82">
        <v>1</v>
      </c>
      <c r="Z21" s="86">
        <v>44559.42</v>
      </c>
      <c r="AA21" s="86">
        <v>44559.42</v>
      </c>
      <c r="AB21" s="82"/>
      <c r="AC21" s="82"/>
      <c r="AD21" s="82"/>
      <c r="AE21" s="82">
        <v>1</v>
      </c>
      <c r="AF21" s="81">
        <v>5</v>
      </c>
      <c r="AG21" s="81">
        <v>5</v>
      </c>
      <c r="AH21" s="49">
        <v>2</v>
      </c>
      <c r="AI21" s="110">
        <v>9.090909090909092</v>
      </c>
      <c r="AJ21" s="49">
        <v>0</v>
      </c>
      <c r="AK21" s="50">
        <v>0</v>
      </c>
      <c r="AL21" s="49">
        <v>0</v>
      </c>
      <c r="AM21" s="50">
        <v>0</v>
      </c>
      <c r="AN21" s="49">
        <v>10</v>
      </c>
      <c r="AO21" s="110">
        <v>45.45454545454545</v>
      </c>
      <c r="AP21" s="49">
        <v>22</v>
      </c>
    </row>
    <row r="22" spans="1:42" ht="15">
      <c r="A22" s="66" t="s">
        <v>241</v>
      </c>
      <c r="B22" s="66" t="s">
        <v>242</v>
      </c>
      <c r="C22" s="67" t="s">
        <v>404</v>
      </c>
      <c r="D22" s="68">
        <v>3</v>
      </c>
      <c r="E22" s="69"/>
      <c r="F22" s="70">
        <v>40</v>
      </c>
      <c r="G22" s="67"/>
      <c r="H22" s="71"/>
      <c r="I22" s="72"/>
      <c r="J22" s="72"/>
      <c r="K22" s="35" t="s">
        <v>65</v>
      </c>
      <c r="L22" s="80">
        <v>22</v>
      </c>
      <c r="M22" s="80"/>
      <c r="N22" s="74"/>
      <c r="O22" s="82" t="s">
        <v>406</v>
      </c>
      <c r="P22" s="82" t="s">
        <v>197</v>
      </c>
      <c r="Q22" s="82" t="s">
        <v>426</v>
      </c>
      <c r="R22" s="82" t="s">
        <v>241</v>
      </c>
      <c r="S22" s="82" t="s">
        <v>568</v>
      </c>
      <c r="T22" s="84" t="str">
        <f>HYPERLINK("http://www.youtube.com/channel/UCUn24Z_vYKrPjaiPZdutWMQ")</f>
        <v>http://www.youtube.com/channel/UCUn24Z_vYKrPjaiPZdutWMQ</v>
      </c>
      <c r="U22" s="82"/>
      <c r="V22" s="82" t="s">
        <v>693</v>
      </c>
      <c r="W22" s="84" t="str">
        <f>HYPERLINK("https://www.youtube.com/watch?v=gjQ2b6eCf5M")</f>
        <v>https://www.youtube.com/watch?v=gjQ2b6eCf5M</v>
      </c>
      <c r="X22" s="82" t="s">
        <v>735</v>
      </c>
      <c r="Y22" s="82">
        <v>1</v>
      </c>
      <c r="Z22" s="86">
        <v>44559.693877314814</v>
      </c>
      <c r="AA22" s="86">
        <v>44559.693877314814</v>
      </c>
      <c r="AB22" s="82"/>
      <c r="AC22" s="82"/>
      <c r="AD22" s="82"/>
      <c r="AE22" s="82">
        <v>1</v>
      </c>
      <c r="AF22" s="81">
        <v>5</v>
      </c>
      <c r="AG22" s="81">
        <v>5</v>
      </c>
      <c r="AH22" s="49">
        <v>0</v>
      </c>
      <c r="AI22" s="50">
        <v>0</v>
      </c>
      <c r="AJ22" s="49">
        <v>0</v>
      </c>
      <c r="AK22" s="50">
        <v>0</v>
      </c>
      <c r="AL22" s="49">
        <v>0</v>
      </c>
      <c r="AM22" s="50">
        <v>0</v>
      </c>
      <c r="AN22" s="49">
        <v>5</v>
      </c>
      <c r="AO22" s="110">
        <v>29.41176470588235</v>
      </c>
      <c r="AP22" s="49">
        <v>17</v>
      </c>
    </row>
    <row r="23" spans="1:42" ht="15">
      <c r="A23" s="66" t="s">
        <v>242</v>
      </c>
      <c r="B23" s="66" t="s">
        <v>242</v>
      </c>
      <c r="C23" s="67" t="s">
        <v>404</v>
      </c>
      <c r="D23" s="68">
        <v>3</v>
      </c>
      <c r="E23" s="69"/>
      <c r="F23" s="70">
        <v>40</v>
      </c>
      <c r="G23" s="67"/>
      <c r="H23" s="71"/>
      <c r="I23" s="72"/>
      <c r="J23" s="72"/>
      <c r="K23" s="35" t="s">
        <v>65</v>
      </c>
      <c r="L23" s="80">
        <v>23</v>
      </c>
      <c r="M23" s="80"/>
      <c r="N23" s="74"/>
      <c r="O23" s="82" t="s">
        <v>407</v>
      </c>
      <c r="P23" s="82"/>
      <c r="Q23" s="82"/>
      <c r="R23" s="82"/>
      <c r="S23" s="82"/>
      <c r="T23" s="82"/>
      <c r="U23" s="82"/>
      <c r="V23" s="82" t="s">
        <v>693</v>
      </c>
      <c r="W23" s="84" t="str">
        <f>HYPERLINK("https://www.youtube.com/watch?v=gjQ2b6eCf5M")</f>
        <v>https://www.youtube.com/watch?v=gjQ2b6eCf5M</v>
      </c>
      <c r="X23" s="82"/>
      <c r="Y23" s="82"/>
      <c r="Z23" s="86">
        <v>44558.98778935185</v>
      </c>
      <c r="AA23" s="82"/>
      <c r="AB23" s="82"/>
      <c r="AC23" s="82"/>
      <c r="AD23" s="82"/>
      <c r="AE23" s="82">
        <v>1</v>
      </c>
      <c r="AF23" s="81">
        <v>5</v>
      </c>
      <c r="AG23" s="81">
        <v>5</v>
      </c>
      <c r="AH23" s="49"/>
      <c r="AI23" s="50"/>
      <c r="AJ23" s="49"/>
      <c r="AK23" s="50"/>
      <c r="AL23" s="49"/>
      <c r="AM23" s="50"/>
      <c r="AN23" s="49"/>
      <c r="AO23" s="50"/>
      <c r="AP23" s="49"/>
    </row>
    <row r="24" spans="1:42" ht="15">
      <c r="A24" s="66" t="s">
        <v>243</v>
      </c>
      <c r="B24" s="66" t="s">
        <v>242</v>
      </c>
      <c r="C24" s="67" t="s">
        <v>404</v>
      </c>
      <c r="D24" s="68">
        <v>3</v>
      </c>
      <c r="E24" s="69"/>
      <c r="F24" s="70">
        <v>40</v>
      </c>
      <c r="G24" s="67"/>
      <c r="H24" s="71"/>
      <c r="I24" s="72"/>
      <c r="J24" s="72"/>
      <c r="K24" s="35" t="s">
        <v>65</v>
      </c>
      <c r="L24" s="80">
        <v>24</v>
      </c>
      <c r="M24" s="80"/>
      <c r="N24" s="74"/>
      <c r="O24" s="82" t="s">
        <v>406</v>
      </c>
      <c r="P24" s="82" t="s">
        <v>197</v>
      </c>
      <c r="Q24" s="82" t="s">
        <v>427</v>
      </c>
      <c r="R24" s="82" t="s">
        <v>243</v>
      </c>
      <c r="S24" s="82" t="s">
        <v>569</v>
      </c>
      <c r="T24" s="84" t="str">
        <f>HYPERLINK("http://www.youtube.com/channel/UCc0q1ipPdTrzCWWsDPKTE_g")</f>
        <v>http://www.youtube.com/channel/UCc0q1ipPdTrzCWWsDPKTE_g</v>
      </c>
      <c r="U24" s="82"/>
      <c r="V24" s="82" t="s">
        <v>693</v>
      </c>
      <c r="W24" s="84" t="str">
        <f>HYPERLINK("https://www.youtube.com/watch?v=gjQ2b6eCf5M")</f>
        <v>https://www.youtube.com/watch?v=gjQ2b6eCf5M</v>
      </c>
      <c r="X24" s="82" t="s">
        <v>735</v>
      </c>
      <c r="Y24" s="82">
        <v>0</v>
      </c>
      <c r="Z24" s="86">
        <v>44561.38064814815</v>
      </c>
      <c r="AA24" s="86">
        <v>44561.38064814815</v>
      </c>
      <c r="AB24" s="82"/>
      <c r="AC24" s="82"/>
      <c r="AD24" s="82"/>
      <c r="AE24" s="82">
        <v>1</v>
      </c>
      <c r="AF24" s="81">
        <v>5</v>
      </c>
      <c r="AG24" s="81">
        <v>5</v>
      </c>
      <c r="AH24" s="49">
        <v>0</v>
      </c>
      <c r="AI24" s="50">
        <v>0</v>
      </c>
      <c r="AJ24" s="49">
        <v>1</v>
      </c>
      <c r="AK24" s="110">
        <v>3.8461538461538463</v>
      </c>
      <c r="AL24" s="49">
        <v>0</v>
      </c>
      <c r="AM24" s="50">
        <v>0</v>
      </c>
      <c r="AN24" s="49">
        <v>11</v>
      </c>
      <c r="AO24" s="110">
        <v>42.30769230769231</v>
      </c>
      <c r="AP24" s="49">
        <v>26</v>
      </c>
    </row>
    <row r="25" spans="1:42" ht="15">
      <c r="A25" s="66" t="s">
        <v>244</v>
      </c>
      <c r="B25" s="66" t="s">
        <v>245</v>
      </c>
      <c r="C25" s="67" t="s">
        <v>404</v>
      </c>
      <c r="D25" s="68">
        <v>3</v>
      </c>
      <c r="E25" s="69"/>
      <c r="F25" s="70">
        <v>40</v>
      </c>
      <c r="G25" s="67"/>
      <c r="H25" s="71"/>
      <c r="I25" s="72"/>
      <c r="J25" s="72"/>
      <c r="K25" s="35" t="s">
        <v>65</v>
      </c>
      <c r="L25" s="80">
        <v>25</v>
      </c>
      <c r="M25" s="80"/>
      <c r="N25" s="74"/>
      <c r="O25" s="82" t="s">
        <v>406</v>
      </c>
      <c r="P25" s="82" t="s">
        <v>197</v>
      </c>
      <c r="Q25" s="82" t="s">
        <v>428</v>
      </c>
      <c r="R25" s="82" t="s">
        <v>244</v>
      </c>
      <c r="S25" s="82" t="s">
        <v>570</v>
      </c>
      <c r="T25" s="84" t="str">
        <f>HYPERLINK("http://www.youtube.com/channel/UCvyGWhEbMxtdznAGgit0VZw")</f>
        <v>http://www.youtube.com/channel/UCvyGWhEbMxtdznAGgit0VZw</v>
      </c>
      <c r="U25" s="82"/>
      <c r="V25" s="82" t="s">
        <v>694</v>
      </c>
      <c r="W25" s="84" t="str">
        <f>HYPERLINK("https://www.youtube.com/watch?v=hsq4RXdv0n8")</f>
        <v>https://www.youtube.com/watch?v=hsq4RXdv0n8</v>
      </c>
      <c r="X25" s="82" t="s">
        <v>735</v>
      </c>
      <c r="Y25" s="82">
        <v>0</v>
      </c>
      <c r="Z25" s="86">
        <v>44361.88271990741</v>
      </c>
      <c r="AA25" s="86">
        <v>44361.88271990741</v>
      </c>
      <c r="AB25" s="82"/>
      <c r="AC25" s="82"/>
      <c r="AD25" s="82"/>
      <c r="AE25" s="82">
        <v>1</v>
      </c>
      <c r="AF25" s="81">
        <v>13</v>
      </c>
      <c r="AG25" s="81">
        <v>13</v>
      </c>
      <c r="AH25" s="49">
        <v>1</v>
      </c>
      <c r="AI25" s="110">
        <v>2.5641025641025643</v>
      </c>
      <c r="AJ25" s="49">
        <v>0</v>
      </c>
      <c r="AK25" s="50">
        <v>0</v>
      </c>
      <c r="AL25" s="49">
        <v>0</v>
      </c>
      <c r="AM25" s="50">
        <v>0</v>
      </c>
      <c r="AN25" s="49">
        <v>15</v>
      </c>
      <c r="AO25" s="110">
        <v>38.46153846153846</v>
      </c>
      <c r="AP25" s="49">
        <v>39</v>
      </c>
    </row>
    <row r="26" spans="1:42" ht="15">
      <c r="A26" s="66" t="s">
        <v>245</v>
      </c>
      <c r="B26" s="66" t="s">
        <v>245</v>
      </c>
      <c r="C26" s="67" t="s">
        <v>404</v>
      </c>
      <c r="D26" s="68">
        <v>3</v>
      </c>
      <c r="E26" s="69"/>
      <c r="F26" s="70">
        <v>40</v>
      </c>
      <c r="G26" s="67"/>
      <c r="H26" s="71"/>
      <c r="I26" s="72"/>
      <c r="J26" s="72"/>
      <c r="K26" s="35" t="s">
        <v>65</v>
      </c>
      <c r="L26" s="80">
        <v>26</v>
      </c>
      <c r="M26" s="80"/>
      <c r="N26" s="74"/>
      <c r="O26" s="82" t="s">
        <v>407</v>
      </c>
      <c r="P26" s="82"/>
      <c r="Q26" s="82"/>
      <c r="R26" s="82"/>
      <c r="S26" s="82"/>
      <c r="T26" s="82"/>
      <c r="U26" s="82"/>
      <c r="V26" s="82" t="s">
        <v>694</v>
      </c>
      <c r="W26" s="84" t="str">
        <f>HYPERLINK("https://www.youtube.com/watch?v=hsq4RXdv0n8")</f>
        <v>https://www.youtube.com/watch?v=hsq4RXdv0n8</v>
      </c>
      <c r="X26" s="82"/>
      <c r="Y26" s="82"/>
      <c r="Z26" s="86">
        <v>44358.97450231481</v>
      </c>
      <c r="AA26" s="82"/>
      <c r="AB26" s="82"/>
      <c r="AC26" s="82"/>
      <c r="AD26" s="82"/>
      <c r="AE26" s="82">
        <v>1</v>
      </c>
      <c r="AF26" s="81">
        <v>13</v>
      </c>
      <c r="AG26" s="81">
        <v>13</v>
      </c>
      <c r="AH26" s="49"/>
      <c r="AI26" s="50"/>
      <c r="AJ26" s="49"/>
      <c r="AK26" s="50"/>
      <c r="AL26" s="49"/>
      <c r="AM26" s="50"/>
      <c r="AN26" s="49"/>
      <c r="AO26" s="50"/>
      <c r="AP26" s="49"/>
    </row>
    <row r="27" spans="1:42" ht="15">
      <c r="A27" s="66" t="s">
        <v>246</v>
      </c>
      <c r="B27" s="66" t="s">
        <v>251</v>
      </c>
      <c r="C27" s="67" t="s">
        <v>404</v>
      </c>
      <c r="D27" s="68">
        <v>3</v>
      </c>
      <c r="E27" s="69"/>
      <c r="F27" s="70">
        <v>40</v>
      </c>
      <c r="G27" s="67"/>
      <c r="H27" s="71"/>
      <c r="I27" s="72"/>
      <c r="J27" s="72"/>
      <c r="K27" s="35" t="s">
        <v>65</v>
      </c>
      <c r="L27" s="80">
        <v>27</v>
      </c>
      <c r="M27" s="80"/>
      <c r="N27" s="74"/>
      <c r="O27" s="82" t="s">
        <v>406</v>
      </c>
      <c r="P27" s="82" t="s">
        <v>197</v>
      </c>
      <c r="Q27" s="82" t="s">
        <v>429</v>
      </c>
      <c r="R27" s="82" t="s">
        <v>246</v>
      </c>
      <c r="S27" s="82" t="s">
        <v>571</v>
      </c>
      <c r="T27" s="84" t="str">
        <f>HYPERLINK("http://www.youtube.com/channel/UCqeU1fMh_NhAx3teVQ7YYtw")</f>
        <v>http://www.youtube.com/channel/UCqeU1fMh_NhAx3teVQ7YYtw</v>
      </c>
      <c r="U27" s="82"/>
      <c r="V27" s="82" t="s">
        <v>695</v>
      </c>
      <c r="W27" s="84" t="str">
        <f>HYPERLINK("https://www.youtube.com/watch?v=Q2CKkFDMc6U")</f>
        <v>https://www.youtube.com/watch?v=Q2CKkFDMc6U</v>
      </c>
      <c r="X27" s="82" t="s">
        <v>735</v>
      </c>
      <c r="Y27" s="82">
        <v>1</v>
      </c>
      <c r="Z27" s="86">
        <v>42435.00283564815</v>
      </c>
      <c r="AA27" s="86">
        <v>42435.00283564815</v>
      </c>
      <c r="AB27" s="82"/>
      <c r="AC27" s="82"/>
      <c r="AD27" s="82"/>
      <c r="AE27" s="82">
        <v>1</v>
      </c>
      <c r="AF27" s="81">
        <v>4</v>
      </c>
      <c r="AG27" s="81">
        <v>4</v>
      </c>
      <c r="AH27" s="49">
        <v>2</v>
      </c>
      <c r="AI27" s="110">
        <v>28.571428571428573</v>
      </c>
      <c r="AJ27" s="49">
        <v>0</v>
      </c>
      <c r="AK27" s="50">
        <v>0</v>
      </c>
      <c r="AL27" s="49">
        <v>0</v>
      </c>
      <c r="AM27" s="50">
        <v>0</v>
      </c>
      <c r="AN27" s="49">
        <v>3</v>
      </c>
      <c r="AO27" s="110">
        <v>42.857142857142854</v>
      </c>
      <c r="AP27" s="49">
        <v>7</v>
      </c>
    </row>
    <row r="28" spans="1:42" ht="15">
      <c r="A28" s="66" t="s">
        <v>247</v>
      </c>
      <c r="B28" s="66" t="s">
        <v>251</v>
      </c>
      <c r="C28" s="67" t="s">
        <v>404</v>
      </c>
      <c r="D28" s="68">
        <v>3</v>
      </c>
      <c r="E28" s="69"/>
      <c r="F28" s="70">
        <v>40</v>
      </c>
      <c r="G28" s="67"/>
      <c r="H28" s="71"/>
      <c r="I28" s="72"/>
      <c r="J28" s="72"/>
      <c r="K28" s="35" t="s">
        <v>65</v>
      </c>
      <c r="L28" s="80">
        <v>28</v>
      </c>
      <c r="M28" s="80"/>
      <c r="N28" s="74"/>
      <c r="O28" s="82" t="s">
        <v>406</v>
      </c>
      <c r="P28" s="82" t="s">
        <v>197</v>
      </c>
      <c r="Q28" s="82" t="s">
        <v>430</v>
      </c>
      <c r="R28" s="82" t="s">
        <v>247</v>
      </c>
      <c r="S28" s="82" t="s">
        <v>572</v>
      </c>
      <c r="T28" s="84" t="str">
        <f>HYPERLINK("http://www.youtube.com/channel/UCgLnwiK5ydVeIBlxwUkuLGw")</f>
        <v>http://www.youtube.com/channel/UCgLnwiK5ydVeIBlxwUkuLGw</v>
      </c>
      <c r="U28" s="82"/>
      <c r="V28" s="82" t="s">
        <v>695</v>
      </c>
      <c r="W28" s="84" t="str">
        <f>HYPERLINK("https://www.youtube.com/watch?v=Q2CKkFDMc6U")</f>
        <v>https://www.youtube.com/watch?v=Q2CKkFDMc6U</v>
      </c>
      <c r="X28" s="82" t="s">
        <v>735</v>
      </c>
      <c r="Y28" s="82">
        <v>2</v>
      </c>
      <c r="Z28" s="86">
        <v>42623.25681712963</v>
      </c>
      <c r="AA28" s="86">
        <v>42623.25681712963</v>
      </c>
      <c r="AB28" s="82"/>
      <c r="AC28" s="82"/>
      <c r="AD28" s="82"/>
      <c r="AE28" s="82">
        <v>1</v>
      </c>
      <c r="AF28" s="81">
        <v>4</v>
      </c>
      <c r="AG28" s="81">
        <v>4</v>
      </c>
      <c r="AH28" s="49">
        <v>3</v>
      </c>
      <c r="AI28" s="110">
        <v>14.285714285714286</v>
      </c>
      <c r="AJ28" s="49">
        <v>0</v>
      </c>
      <c r="AK28" s="50">
        <v>0</v>
      </c>
      <c r="AL28" s="49">
        <v>0</v>
      </c>
      <c r="AM28" s="50">
        <v>0</v>
      </c>
      <c r="AN28" s="49">
        <v>5</v>
      </c>
      <c r="AO28" s="110">
        <v>23.80952380952381</v>
      </c>
      <c r="AP28" s="49">
        <v>21</v>
      </c>
    </row>
    <row r="29" spans="1:42" ht="15">
      <c r="A29" s="66" t="s">
        <v>248</v>
      </c>
      <c r="B29" s="66" t="s">
        <v>251</v>
      </c>
      <c r="C29" s="67" t="s">
        <v>404</v>
      </c>
      <c r="D29" s="68">
        <v>3</v>
      </c>
      <c r="E29" s="69"/>
      <c r="F29" s="70">
        <v>40</v>
      </c>
      <c r="G29" s="67"/>
      <c r="H29" s="71"/>
      <c r="I29" s="72"/>
      <c r="J29" s="72"/>
      <c r="K29" s="35" t="s">
        <v>65</v>
      </c>
      <c r="L29" s="80">
        <v>29</v>
      </c>
      <c r="M29" s="80"/>
      <c r="N29" s="74"/>
      <c r="O29" s="82" t="s">
        <v>406</v>
      </c>
      <c r="P29" s="82" t="s">
        <v>197</v>
      </c>
      <c r="Q29" s="82" t="s">
        <v>431</v>
      </c>
      <c r="R29" s="82" t="s">
        <v>248</v>
      </c>
      <c r="S29" s="82" t="s">
        <v>573</v>
      </c>
      <c r="T29" s="84" t="str">
        <f>HYPERLINK("http://www.youtube.com/channel/UCdSt0UlIdni98FI6e8i1HMA")</f>
        <v>http://www.youtube.com/channel/UCdSt0UlIdni98FI6e8i1HMA</v>
      </c>
      <c r="U29" s="82"/>
      <c r="V29" s="82" t="s">
        <v>696</v>
      </c>
      <c r="W29" s="84" t="str">
        <f>HYPERLINK("https://www.youtube.com/watch?v=OEBMTb3WWS4")</f>
        <v>https://www.youtube.com/watch?v=OEBMTb3WWS4</v>
      </c>
      <c r="X29" s="82" t="s">
        <v>735</v>
      </c>
      <c r="Y29" s="82">
        <v>0</v>
      </c>
      <c r="Z29" s="86">
        <v>43155.94802083333</v>
      </c>
      <c r="AA29" s="86">
        <v>43155.94802083333</v>
      </c>
      <c r="AB29" s="82"/>
      <c r="AC29" s="82"/>
      <c r="AD29" s="82"/>
      <c r="AE29" s="82">
        <v>1</v>
      </c>
      <c r="AF29" s="81">
        <v>4</v>
      </c>
      <c r="AG29" s="81">
        <v>4</v>
      </c>
      <c r="AH29" s="49">
        <v>0</v>
      </c>
      <c r="AI29" s="50">
        <v>0</v>
      </c>
      <c r="AJ29" s="49">
        <v>0</v>
      </c>
      <c r="AK29" s="50">
        <v>0</v>
      </c>
      <c r="AL29" s="49">
        <v>0</v>
      </c>
      <c r="AM29" s="50">
        <v>0</v>
      </c>
      <c r="AN29" s="49">
        <v>5</v>
      </c>
      <c r="AO29" s="110">
        <v>41.666666666666664</v>
      </c>
      <c r="AP29" s="49">
        <v>12</v>
      </c>
    </row>
    <row r="30" spans="1:42" ht="15">
      <c r="A30" s="66" t="s">
        <v>249</v>
      </c>
      <c r="B30" s="66" t="s">
        <v>251</v>
      </c>
      <c r="C30" s="67" t="s">
        <v>404</v>
      </c>
      <c r="D30" s="68">
        <v>3</v>
      </c>
      <c r="E30" s="69"/>
      <c r="F30" s="70">
        <v>40</v>
      </c>
      <c r="G30" s="67"/>
      <c r="H30" s="71"/>
      <c r="I30" s="72"/>
      <c r="J30" s="72"/>
      <c r="K30" s="35" t="s">
        <v>65</v>
      </c>
      <c r="L30" s="80">
        <v>30</v>
      </c>
      <c r="M30" s="80"/>
      <c r="N30" s="74"/>
      <c r="O30" s="82" t="s">
        <v>406</v>
      </c>
      <c r="P30" s="82" t="s">
        <v>197</v>
      </c>
      <c r="Q30" s="82" t="s">
        <v>432</v>
      </c>
      <c r="R30" s="82" t="s">
        <v>249</v>
      </c>
      <c r="S30" s="82" t="s">
        <v>574</v>
      </c>
      <c r="T30" s="84" t="str">
        <f>HYPERLINK("http://www.youtube.com/channel/UCxNBIrM4Img_jfSSZ6RygGg")</f>
        <v>http://www.youtube.com/channel/UCxNBIrM4Img_jfSSZ6RygGg</v>
      </c>
      <c r="U30" s="82"/>
      <c r="V30" s="82" t="s">
        <v>696</v>
      </c>
      <c r="W30" s="84" t="str">
        <f>HYPERLINK("https://www.youtube.com/watch?v=OEBMTb3WWS4")</f>
        <v>https://www.youtube.com/watch?v=OEBMTb3WWS4</v>
      </c>
      <c r="X30" s="82" t="s">
        <v>735</v>
      </c>
      <c r="Y30" s="82">
        <v>2</v>
      </c>
      <c r="Z30" s="86">
        <v>43155.9600462963</v>
      </c>
      <c r="AA30" s="86">
        <v>43155.9600462963</v>
      </c>
      <c r="AB30" s="82"/>
      <c r="AC30" s="82"/>
      <c r="AD30" s="82"/>
      <c r="AE30" s="82">
        <v>1</v>
      </c>
      <c r="AF30" s="81">
        <v>4</v>
      </c>
      <c r="AG30" s="81">
        <v>4</v>
      </c>
      <c r="AH30" s="49">
        <v>0</v>
      </c>
      <c r="AI30" s="50">
        <v>0</v>
      </c>
      <c r="AJ30" s="49">
        <v>1</v>
      </c>
      <c r="AK30" s="110">
        <v>4.761904761904762</v>
      </c>
      <c r="AL30" s="49">
        <v>0</v>
      </c>
      <c r="AM30" s="50">
        <v>0</v>
      </c>
      <c r="AN30" s="49">
        <v>6</v>
      </c>
      <c r="AO30" s="110">
        <v>28.571428571428573</v>
      </c>
      <c r="AP30" s="49">
        <v>21</v>
      </c>
    </row>
    <row r="31" spans="1:42" ht="15">
      <c r="A31" s="66" t="s">
        <v>250</v>
      </c>
      <c r="B31" s="66" t="s">
        <v>251</v>
      </c>
      <c r="C31" s="67" t="s">
        <v>404</v>
      </c>
      <c r="D31" s="68">
        <v>3</v>
      </c>
      <c r="E31" s="69"/>
      <c r="F31" s="70">
        <v>40</v>
      </c>
      <c r="G31" s="67"/>
      <c r="H31" s="71"/>
      <c r="I31" s="72"/>
      <c r="J31" s="72"/>
      <c r="K31" s="35" t="s">
        <v>65</v>
      </c>
      <c r="L31" s="80">
        <v>31</v>
      </c>
      <c r="M31" s="80"/>
      <c r="N31" s="74"/>
      <c r="O31" s="82" t="s">
        <v>406</v>
      </c>
      <c r="P31" s="82" t="s">
        <v>197</v>
      </c>
      <c r="Q31" s="82" t="s">
        <v>433</v>
      </c>
      <c r="R31" s="82" t="s">
        <v>250</v>
      </c>
      <c r="S31" s="82" t="s">
        <v>575</v>
      </c>
      <c r="T31" s="84" t="str">
        <f>HYPERLINK("http://www.youtube.com/channel/UCEVX4zX1f7L3kiW7NYJ3USw")</f>
        <v>http://www.youtube.com/channel/UCEVX4zX1f7L3kiW7NYJ3USw</v>
      </c>
      <c r="U31" s="82"/>
      <c r="V31" s="82" t="s">
        <v>696</v>
      </c>
      <c r="W31" s="84" t="str">
        <f>HYPERLINK("https://www.youtube.com/watch?v=OEBMTb3WWS4")</f>
        <v>https://www.youtube.com/watch?v=OEBMTb3WWS4</v>
      </c>
      <c r="X31" s="82" t="s">
        <v>735</v>
      </c>
      <c r="Y31" s="82">
        <v>0</v>
      </c>
      <c r="Z31" s="86">
        <v>43156.02947916667</v>
      </c>
      <c r="AA31" s="86">
        <v>43156.02947916667</v>
      </c>
      <c r="AB31" s="82"/>
      <c r="AC31" s="82"/>
      <c r="AD31" s="82"/>
      <c r="AE31" s="82">
        <v>1</v>
      </c>
      <c r="AF31" s="81">
        <v>4</v>
      </c>
      <c r="AG31" s="81">
        <v>4</v>
      </c>
      <c r="AH31" s="49">
        <v>1</v>
      </c>
      <c r="AI31" s="110">
        <v>5.882352941176471</v>
      </c>
      <c r="AJ31" s="49">
        <v>0</v>
      </c>
      <c r="AK31" s="50">
        <v>0</v>
      </c>
      <c r="AL31" s="49">
        <v>0</v>
      </c>
      <c r="AM31" s="50">
        <v>0</v>
      </c>
      <c r="AN31" s="49">
        <v>6</v>
      </c>
      <c r="AO31" s="110">
        <v>35.294117647058826</v>
      </c>
      <c r="AP31" s="49">
        <v>17</v>
      </c>
    </row>
    <row r="32" spans="1:42" ht="15">
      <c r="A32" s="66" t="s">
        <v>251</v>
      </c>
      <c r="B32" s="66" t="s">
        <v>251</v>
      </c>
      <c r="C32" s="67" t="s">
        <v>1783</v>
      </c>
      <c r="D32" s="68">
        <v>3</v>
      </c>
      <c r="E32" s="69"/>
      <c r="F32" s="70">
        <v>40</v>
      </c>
      <c r="G32" s="67"/>
      <c r="H32" s="71"/>
      <c r="I32" s="72"/>
      <c r="J32" s="72"/>
      <c r="K32" s="35" t="s">
        <v>65</v>
      </c>
      <c r="L32" s="80">
        <v>32</v>
      </c>
      <c r="M32" s="80"/>
      <c r="N32" s="74"/>
      <c r="O32" s="82" t="s">
        <v>407</v>
      </c>
      <c r="P32" s="82"/>
      <c r="Q32" s="82"/>
      <c r="R32" s="82"/>
      <c r="S32" s="82"/>
      <c r="T32" s="82"/>
      <c r="U32" s="82"/>
      <c r="V32" s="82" t="s">
        <v>695</v>
      </c>
      <c r="W32" s="84" t="str">
        <f>HYPERLINK("https://www.youtube.com/watch?v=Q2CKkFDMc6U")</f>
        <v>https://www.youtube.com/watch?v=Q2CKkFDMc6U</v>
      </c>
      <c r="X32" s="82"/>
      <c r="Y32" s="82"/>
      <c r="Z32" s="86">
        <v>42434.0655787037</v>
      </c>
      <c r="AA32" s="82"/>
      <c r="AB32" s="82"/>
      <c r="AC32" s="82"/>
      <c r="AD32" s="82"/>
      <c r="AE32" s="82">
        <v>4</v>
      </c>
      <c r="AF32" s="81">
        <v>4</v>
      </c>
      <c r="AG32" s="81">
        <v>4</v>
      </c>
      <c r="AH32" s="49"/>
      <c r="AI32" s="50"/>
      <c r="AJ32" s="49"/>
      <c r="AK32" s="50"/>
      <c r="AL32" s="49"/>
      <c r="AM32" s="50"/>
      <c r="AN32" s="49"/>
      <c r="AO32" s="50"/>
      <c r="AP32" s="49"/>
    </row>
    <row r="33" spans="1:42" ht="15">
      <c r="A33" s="66" t="s">
        <v>252</v>
      </c>
      <c r="B33" s="66" t="s">
        <v>251</v>
      </c>
      <c r="C33" s="67" t="s">
        <v>404</v>
      </c>
      <c r="D33" s="68">
        <v>3</v>
      </c>
      <c r="E33" s="69"/>
      <c r="F33" s="70">
        <v>40</v>
      </c>
      <c r="G33" s="67"/>
      <c r="H33" s="71"/>
      <c r="I33" s="72"/>
      <c r="J33" s="72"/>
      <c r="K33" s="35" t="s">
        <v>65</v>
      </c>
      <c r="L33" s="80">
        <v>33</v>
      </c>
      <c r="M33" s="80"/>
      <c r="N33" s="74"/>
      <c r="O33" s="82" t="s">
        <v>406</v>
      </c>
      <c r="P33" s="82" t="s">
        <v>197</v>
      </c>
      <c r="Q33" s="82" t="s">
        <v>434</v>
      </c>
      <c r="R33" s="82" t="s">
        <v>252</v>
      </c>
      <c r="S33" s="82" t="s">
        <v>576</v>
      </c>
      <c r="T33" s="84" t="str">
        <f>HYPERLINK("http://www.youtube.com/channel/UCqdBowHTw_EPhxKTH8CFM8A")</f>
        <v>http://www.youtube.com/channel/UCqdBowHTw_EPhxKTH8CFM8A</v>
      </c>
      <c r="U33" s="82"/>
      <c r="V33" s="82" t="s">
        <v>696</v>
      </c>
      <c r="W33" s="84" t="str">
        <f>HYPERLINK("https://www.youtube.com/watch?v=OEBMTb3WWS4")</f>
        <v>https://www.youtube.com/watch?v=OEBMTb3WWS4</v>
      </c>
      <c r="X33" s="82" t="s">
        <v>735</v>
      </c>
      <c r="Y33" s="82">
        <v>0</v>
      </c>
      <c r="Z33" s="86">
        <v>44834.906793981485</v>
      </c>
      <c r="AA33" s="86">
        <v>44834.906793981485</v>
      </c>
      <c r="AB33" s="82"/>
      <c r="AC33" s="82"/>
      <c r="AD33" s="82"/>
      <c r="AE33" s="82">
        <v>1</v>
      </c>
      <c r="AF33" s="81">
        <v>4</v>
      </c>
      <c r="AG33" s="81">
        <v>4</v>
      </c>
      <c r="AH33" s="49">
        <v>0</v>
      </c>
      <c r="AI33" s="50">
        <v>0</v>
      </c>
      <c r="AJ33" s="49">
        <v>1</v>
      </c>
      <c r="AK33" s="50">
        <v>20</v>
      </c>
      <c r="AL33" s="49">
        <v>0</v>
      </c>
      <c r="AM33" s="50">
        <v>0</v>
      </c>
      <c r="AN33" s="49">
        <v>2</v>
      </c>
      <c r="AO33" s="50">
        <v>40</v>
      </c>
      <c r="AP33" s="49">
        <v>5</v>
      </c>
    </row>
    <row r="34" spans="1:42" ht="15">
      <c r="A34" s="66" t="s">
        <v>253</v>
      </c>
      <c r="B34" s="66" t="s">
        <v>254</v>
      </c>
      <c r="C34" s="67" t="s">
        <v>404</v>
      </c>
      <c r="D34" s="68">
        <v>3</v>
      </c>
      <c r="E34" s="69"/>
      <c r="F34" s="70">
        <v>40</v>
      </c>
      <c r="G34" s="67"/>
      <c r="H34" s="71"/>
      <c r="I34" s="72"/>
      <c r="J34" s="72"/>
      <c r="K34" s="35" t="s">
        <v>65</v>
      </c>
      <c r="L34" s="80">
        <v>34</v>
      </c>
      <c r="M34" s="80"/>
      <c r="N34" s="74"/>
      <c r="O34" s="82" t="s">
        <v>406</v>
      </c>
      <c r="P34" s="82" t="s">
        <v>197</v>
      </c>
      <c r="Q34" s="82" t="s">
        <v>435</v>
      </c>
      <c r="R34" s="82" t="s">
        <v>253</v>
      </c>
      <c r="S34" s="82" t="s">
        <v>577</v>
      </c>
      <c r="T34" s="84" t="str">
        <f>HYPERLINK("http://www.youtube.com/channel/UCAgmleS9wdeTBPjnZQWjFCw")</f>
        <v>http://www.youtube.com/channel/UCAgmleS9wdeTBPjnZQWjFCw</v>
      </c>
      <c r="U34" s="82"/>
      <c r="V34" s="82" t="s">
        <v>697</v>
      </c>
      <c r="W34" s="84" t="str">
        <f>HYPERLINK("https://www.youtube.com/watch?v=E9_6bHyqfeU")</f>
        <v>https://www.youtube.com/watch?v=E9_6bHyqfeU</v>
      </c>
      <c r="X34" s="82" t="s">
        <v>735</v>
      </c>
      <c r="Y34" s="82">
        <v>0</v>
      </c>
      <c r="Z34" s="86">
        <v>44230.70846064815</v>
      </c>
      <c r="AA34" s="86">
        <v>44230.70846064815</v>
      </c>
      <c r="AB34" s="82"/>
      <c r="AC34" s="82"/>
      <c r="AD34" s="82"/>
      <c r="AE34" s="82">
        <v>1</v>
      </c>
      <c r="AF34" s="81">
        <v>9</v>
      </c>
      <c r="AG34" s="81">
        <v>9</v>
      </c>
      <c r="AH34" s="49">
        <v>1</v>
      </c>
      <c r="AI34" s="50">
        <v>20</v>
      </c>
      <c r="AJ34" s="49">
        <v>0</v>
      </c>
      <c r="AK34" s="50">
        <v>0</v>
      </c>
      <c r="AL34" s="49">
        <v>0</v>
      </c>
      <c r="AM34" s="50">
        <v>0</v>
      </c>
      <c r="AN34" s="49">
        <v>2</v>
      </c>
      <c r="AO34" s="50">
        <v>40</v>
      </c>
      <c r="AP34" s="49">
        <v>5</v>
      </c>
    </row>
    <row r="35" spans="1:42" ht="15">
      <c r="A35" s="66" t="s">
        <v>254</v>
      </c>
      <c r="B35" s="66" t="s">
        <v>254</v>
      </c>
      <c r="C35" s="67" t="s">
        <v>404</v>
      </c>
      <c r="D35" s="68">
        <v>3</v>
      </c>
      <c r="E35" s="69"/>
      <c r="F35" s="70">
        <v>40</v>
      </c>
      <c r="G35" s="67"/>
      <c r="H35" s="71"/>
      <c r="I35" s="72"/>
      <c r="J35" s="72"/>
      <c r="K35" s="35" t="s">
        <v>65</v>
      </c>
      <c r="L35" s="80">
        <v>35</v>
      </c>
      <c r="M35" s="80"/>
      <c r="N35" s="74"/>
      <c r="O35" s="82" t="s">
        <v>407</v>
      </c>
      <c r="P35" s="82"/>
      <c r="Q35" s="82"/>
      <c r="R35" s="82"/>
      <c r="S35" s="82"/>
      <c r="T35" s="82"/>
      <c r="U35" s="82"/>
      <c r="V35" s="82" t="s">
        <v>697</v>
      </c>
      <c r="W35" s="84" t="str">
        <f>HYPERLINK("https://www.youtube.com/watch?v=E9_6bHyqfeU")</f>
        <v>https://www.youtube.com/watch?v=E9_6bHyqfeU</v>
      </c>
      <c r="X35" s="82"/>
      <c r="Y35" s="82"/>
      <c r="Z35" s="86">
        <v>44230.7075</v>
      </c>
      <c r="AA35" s="82"/>
      <c r="AB35" s="82"/>
      <c r="AC35" s="82"/>
      <c r="AD35" s="82"/>
      <c r="AE35" s="82">
        <v>1</v>
      </c>
      <c r="AF35" s="81">
        <v>9</v>
      </c>
      <c r="AG35" s="81">
        <v>9</v>
      </c>
      <c r="AH35" s="49"/>
      <c r="AI35" s="50"/>
      <c r="AJ35" s="49"/>
      <c r="AK35" s="50"/>
      <c r="AL35" s="49"/>
      <c r="AM35" s="50"/>
      <c r="AN35" s="49"/>
      <c r="AO35" s="50"/>
      <c r="AP35" s="49"/>
    </row>
    <row r="36" spans="1:42" ht="15">
      <c r="A36" s="66" t="s">
        <v>255</v>
      </c>
      <c r="B36" s="66" t="s">
        <v>254</v>
      </c>
      <c r="C36" s="67" t="s">
        <v>404</v>
      </c>
      <c r="D36" s="68">
        <v>3</v>
      </c>
      <c r="E36" s="69"/>
      <c r="F36" s="70">
        <v>40</v>
      </c>
      <c r="G36" s="67"/>
      <c r="H36" s="71"/>
      <c r="I36" s="72"/>
      <c r="J36" s="72"/>
      <c r="K36" s="35" t="s">
        <v>65</v>
      </c>
      <c r="L36" s="80">
        <v>36</v>
      </c>
      <c r="M36" s="80"/>
      <c r="N36" s="74"/>
      <c r="O36" s="82" t="s">
        <v>406</v>
      </c>
      <c r="P36" s="82" t="s">
        <v>197</v>
      </c>
      <c r="Q36" s="82" t="s">
        <v>436</v>
      </c>
      <c r="R36" s="82" t="s">
        <v>255</v>
      </c>
      <c r="S36" s="82" t="s">
        <v>578</v>
      </c>
      <c r="T36" s="84" t="str">
        <f>HYPERLINK("http://www.youtube.com/channel/UC92bY3vyxakfwsWiDazd9_w")</f>
        <v>http://www.youtube.com/channel/UC92bY3vyxakfwsWiDazd9_w</v>
      </c>
      <c r="U36" s="82"/>
      <c r="V36" s="82" t="s">
        <v>697</v>
      </c>
      <c r="W36" s="84" t="str">
        <f>HYPERLINK("https://www.youtube.com/watch?v=E9_6bHyqfeU")</f>
        <v>https://www.youtube.com/watch?v=E9_6bHyqfeU</v>
      </c>
      <c r="X36" s="82" t="s">
        <v>735</v>
      </c>
      <c r="Y36" s="82">
        <v>0</v>
      </c>
      <c r="Z36" s="86">
        <v>44230.81961805555</v>
      </c>
      <c r="AA36" s="86">
        <v>44230.81961805555</v>
      </c>
      <c r="AB36" s="82"/>
      <c r="AC36" s="82"/>
      <c r="AD36" s="82"/>
      <c r="AE36" s="82">
        <v>1</v>
      </c>
      <c r="AF36" s="81">
        <v>9</v>
      </c>
      <c r="AG36" s="81">
        <v>9</v>
      </c>
      <c r="AH36" s="49">
        <v>1</v>
      </c>
      <c r="AI36" s="110">
        <v>33.333333333333336</v>
      </c>
      <c r="AJ36" s="49">
        <v>0</v>
      </c>
      <c r="AK36" s="50">
        <v>0</v>
      </c>
      <c r="AL36" s="49">
        <v>0</v>
      </c>
      <c r="AM36" s="50">
        <v>0</v>
      </c>
      <c r="AN36" s="49">
        <v>2</v>
      </c>
      <c r="AO36" s="110">
        <v>66.66666666666667</v>
      </c>
      <c r="AP36" s="49">
        <v>3</v>
      </c>
    </row>
    <row r="37" spans="1:42" ht="15">
      <c r="A37" s="66" t="s">
        <v>256</v>
      </c>
      <c r="B37" s="66" t="s">
        <v>257</v>
      </c>
      <c r="C37" s="67" t="s">
        <v>404</v>
      </c>
      <c r="D37" s="68">
        <v>3</v>
      </c>
      <c r="E37" s="69"/>
      <c r="F37" s="70">
        <v>40</v>
      </c>
      <c r="G37" s="67"/>
      <c r="H37" s="71"/>
      <c r="I37" s="72"/>
      <c r="J37" s="72"/>
      <c r="K37" s="35" t="s">
        <v>65</v>
      </c>
      <c r="L37" s="80">
        <v>37</v>
      </c>
      <c r="M37" s="80"/>
      <c r="N37" s="74"/>
      <c r="O37" s="82" t="s">
        <v>406</v>
      </c>
      <c r="P37" s="82" t="s">
        <v>197</v>
      </c>
      <c r="Q37" s="82" t="s">
        <v>437</v>
      </c>
      <c r="R37" s="82" t="s">
        <v>256</v>
      </c>
      <c r="S37" s="82" t="s">
        <v>579</v>
      </c>
      <c r="T37" s="84" t="str">
        <f>HYPERLINK("http://www.youtube.com/channel/UCO0BUaDD-ICY6lt-yZSEW-A")</f>
        <v>http://www.youtube.com/channel/UCO0BUaDD-ICY6lt-yZSEW-A</v>
      </c>
      <c r="U37" s="82"/>
      <c r="V37" s="82" t="s">
        <v>698</v>
      </c>
      <c r="W37" s="84" t="str">
        <f>HYPERLINK("https://www.youtube.com/watch?v=9kMpguF84Ok")</f>
        <v>https://www.youtube.com/watch?v=9kMpguF84Ok</v>
      </c>
      <c r="X37" s="82" t="s">
        <v>735</v>
      </c>
      <c r="Y37" s="82">
        <v>0</v>
      </c>
      <c r="Z37" s="86">
        <v>44707.158229166664</v>
      </c>
      <c r="AA37" s="86">
        <v>44707.158229166664</v>
      </c>
      <c r="AB37" s="82"/>
      <c r="AC37" s="82"/>
      <c r="AD37" s="82"/>
      <c r="AE37" s="82">
        <v>1</v>
      </c>
      <c r="AF37" s="81">
        <v>12</v>
      </c>
      <c r="AG37" s="81">
        <v>12</v>
      </c>
      <c r="AH37" s="49">
        <v>1</v>
      </c>
      <c r="AI37" s="110">
        <v>14.285714285714286</v>
      </c>
      <c r="AJ37" s="49">
        <v>0</v>
      </c>
      <c r="AK37" s="50">
        <v>0</v>
      </c>
      <c r="AL37" s="49">
        <v>0</v>
      </c>
      <c r="AM37" s="50">
        <v>0</v>
      </c>
      <c r="AN37" s="49">
        <v>2</v>
      </c>
      <c r="AO37" s="110">
        <v>28.571428571428573</v>
      </c>
      <c r="AP37" s="49">
        <v>7</v>
      </c>
    </row>
    <row r="38" spans="1:42" ht="15">
      <c r="A38" s="66" t="s">
        <v>257</v>
      </c>
      <c r="B38" s="66" t="s">
        <v>257</v>
      </c>
      <c r="C38" s="67" t="s">
        <v>404</v>
      </c>
      <c r="D38" s="68">
        <v>3</v>
      </c>
      <c r="E38" s="69"/>
      <c r="F38" s="70">
        <v>40</v>
      </c>
      <c r="G38" s="67"/>
      <c r="H38" s="71"/>
      <c r="I38" s="72"/>
      <c r="J38" s="72"/>
      <c r="K38" s="35" t="s">
        <v>65</v>
      </c>
      <c r="L38" s="80">
        <v>38</v>
      </c>
      <c r="M38" s="80"/>
      <c r="N38" s="74"/>
      <c r="O38" s="82" t="s">
        <v>407</v>
      </c>
      <c r="P38" s="82"/>
      <c r="Q38" s="82"/>
      <c r="R38" s="82"/>
      <c r="S38" s="82"/>
      <c r="T38" s="82"/>
      <c r="U38" s="82"/>
      <c r="V38" s="82" t="s">
        <v>698</v>
      </c>
      <c r="W38" s="84" t="str">
        <f>HYPERLINK("https://www.youtube.com/watch?v=9kMpguF84Ok")</f>
        <v>https://www.youtube.com/watch?v=9kMpguF84Ok</v>
      </c>
      <c r="X38" s="82"/>
      <c r="Y38" s="82"/>
      <c r="Z38" s="86">
        <v>42928.89148148148</v>
      </c>
      <c r="AA38" s="82"/>
      <c r="AB38" s="82"/>
      <c r="AC38" s="82"/>
      <c r="AD38" s="82"/>
      <c r="AE38" s="82">
        <v>1</v>
      </c>
      <c r="AF38" s="81">
        <v>12</v>
      </c>
      <c r="AG38" s="81">
        <v>12</v>
      </c>
      <c r="AH38" s="49"/>
      <c r="AI38" s="50"/>
      <c r="AJ38" s="49"/>
      <c r="AK38" s="50"/>
      <c r="AL38" s="49"/>
      <c r="AM38" s="50"/>
      <c r="AN38" s="49"/>
      <c r="AO38" s="50"/>
      <c r="AP38" s="49"/>
    </row>
    <row r="39" spans="1:42" ht="15">
      <c r="A39" s="66" t="s">
        <v>258</v>
      </c>
      <c r="B39" s="66" t="s">
        <v>259</v>
      </c>
      <c r="C39" s="67" t="s">
        <v>404</v>
      </c>
      <c r="D39" s="68">
        <v>3</v>
      </c>
      <c r="E39" s="69"/>
      <c r="F39" s="70">
        <v>40</v>
      </c>
      <c r="G39" s="67"/>
      <c r="H39" s="71"/>
      <c r="I39" s="72"/>
      <c r="J39" s="72"/>
      <c r="K39" s="35" t="s">
        <v>65</v>
      </c>
      <c r="L39" s="80">
        <v>39</v>
      </c>
      <c r="M39" s="80"/>
      <c r="N39" s="74"/>
      <c r="O39" s="82" t="s">
        <v>406</v>
      </c>
      <c r="P39" s="82" t="s">
        <v>197</v>
      </c>
      <c r="Q39" s="82" t="s">
        <v>438</v>
      </c>
      <c r="R39" s="82" t="s">
        <v>258</v>
      </c>
      <c r="S39" s="82" t="s">
        <v>580</v>
      </c>
      <c r="T39" s="84" t="str">
        <f>HYPERLINK("http://www.youtube.com/channel/UCcUHc0sopUl3Zoi1otJP3lQ")</f>
        <v>http://www.youtube.com/channel/UCcUHc0sopUl3Zoi1otJP3lQ</v>
      </c>
      <c r="U39" s="82"/>
      <c r="V39" s="82" t="s">
        <v>699</v>
      </c>
      <c r="W39" s="84" t="str">
        <f>HYPERLINK("https://www.youtube.com/watch?v=pjNUGUOCCB8")</f>
        <v>https://www.youtube.com/watch?v=pjNUGUOCCB8</v>
      </c>
      <c r="X39" s="82" t="s">
        <v>735</v>
      </c>
      <c r="Y39" s="82">
        <v>0</v>
      </c>
      <c r="Z39" s="86">
        <v>43121.72090277778</v>
      </c>
      <c r="AA39" s="86">
        <v>43121.72090277778</v>
      </c>
      <c r="AB39" s="82"/>
      <c r="AC39" s="82"/>
      <c r="AD39" s="82"/>
      <c r="AE39" s="82">
        <v>1</v>
      </c>
      <c r="AF39" s="81">
        <v>11</v>
      </c>
      <c r="AG39" s="81">
        <v>11</v>
      </c>
      <c r="AH39" s="49">
        <v>1</v>
      </c>
      <c r="AI39" s="50">
        <v>20</v>
      </c>
      <c r="AJ39" s="49">
        <v>0</v>
      </c>
      <c r="AK39" s="50">
        <v>0</v>
      </c>
      <c r="AL39" s="49">
        <v>0</v>
      </c>
      <c r="AM39" s="50">
        <v>0</v>
      </c>
      <c r="AN39" s="49">
        <v>2</v>
      </c>
      <c r="AO39" s="50">
        <v>40</v>
      </c>
      <c r="AP39" s="49">
        <v>5</v>
      </c>
    </row>
    <row r="40" spans="1:42" ht="15">
      <c r="A40" s="66" t="s">
        <v>259</v>
      </c>
      <c r="B40" s="66" t="s">
        <v>259</v>
      </c>
      <c r="C40" s="67" t="s">
        <v>404</v>
      </c>
      <c r="D40" s="68">
        <v>3</v>
      </c>
      <c r="E40" s="69"/>
      <c r="F40" s="70">
        <v>40</v>
      </c>
      <c r="G40" s="67"/>
      <c r="H40" s="71"/>
      <c r="I40" s="72"/>
      <c r="J40" s="72"/>
      <c r="K40" s="35" t="s">
        <v>65</v>
      </c>
      <c r="L40" s="80">
        <v>40</v>
      </c>
      <c r="M40" s="80"/>
      <c r="N40" s="74"/>
      <c r="O40" s="82" t="s">
        <v>407</v>
      </c>
      <c r="P40" s="82"/>
      <c r="Q40" s="82"/>
      <c r="R40" s="82"/>
      <c r="S40" s="82"/>
      <c r="T40" s="82"/>
      <c r="U40" s="82"/>
      <c r="V40" s="82" t="s">
        <v>699</v>
      </c>
      <c r="W40" s="84" t="str">
        <f>HYPERLINK("https://www.youtube.com/watch?v=pjNUGUOCCB8")</f>
        <v>https://www.youtube.com/watch?v=pjNUGUOCCB8</v>
      </c>
      <c r="X40" s="82"/>
      <c r="Y40" s="82"/>
      <c r="Z40" s="86">
        <v>43121.58079861111</v>
      </c>
      <c r="AA40" s="82"/>
      <c r="AB40" s="82"/>
      <c r="AC40" s="82"/>
      <c r="AD40" s="82"/>
      <c r="AE40" s="82">
        <v>1</v>
      </c>
      <c r="AF40" s="81">
        <v>11</v>
      </c>
      <c r="AG40" s="81">
        <v>11</v>
      </c>
      <c r="AH40" s="49"/>
      <c r="AI40" s="50"/>
      <c r="AJ40" s="49"/>
      <c r="AK40" s="50"/>
      <c r="AL40" s="49"/>
      <c r="AM40" s="50"/>
      <c r="AN40" s="49"/>
      <c r="AO40" s="50"/>
      <c r="AP40" s="49"/>
    </row>
    <row r="41" spans="1:42" ht="15">
      <c r="A41" s="66" t="s">
        <v>260</v>
      </c>
      <c r="B41" s="66" t="s">
        <v>265</v>
      </c>
      <c r="C41" s="67" t="s">
        <v>404</v>
      </c>
      <c r="D41" s="68">
        <v>3</v>
      </c>
      <c r="E41" s="69"/>
      <c r="F41" s="70">
        <v>40</v>
      </c>
      <c r="G41" s="67"/>
      <c r="H41" s="71"/>
      <c r="I41" s="72"/>
      <c r="J41" s="72"/>
      <c r="K41" s="35" t="s">
        <v>65</v>
      </c>
      <c r="L41" s="80">
        <v>41</v>
      </c>
      <c r="M41" s="80"/>
      <c r="N41" s="74"/>
      <c r="O41" s="82" t="s">
        <v>406</v>
      </c>
      <c r="P41" s="82" t="s">
        <v>197</v>
      </c>
      <c r="Q41" s="82" t="s">
        <v>439</v>
      </c>
      <c r="R41" s="82" t="s">
        <v>260</v>
      </c>
      <c r="S41" s="82" t="s">
        <v>581</v>
      </c>
      <c r="T41" s="84" t="str">
        <f>HYPERLINK("http://www.youtube.com/channel/UCHaQIcmzy6_Hr4W8MuLtZoQ")</f>
        <v>http://www.youtube.com/channel/UCHaQIcmzy6_Hr4W8MuLtZoQ</v>
      </c>
      <c r="U41" s="82"/>
      <c r="V41" s="82" t="s">
        <v>700</v>
      </c>
      <c r="W41" s="84" t="str">
        <f>HYPERLINK("https://www.youtube.com/watch?v=nKS8X8XsQPo")</f>
        <v>https://www.youtube.com/watch?v=nKS8X8XsQPo</v>
      </c>
      <c r="X41" s="82" t="s">
        <v>735</v>
      </c>
      <c r="Y41" s="82">
        <v>3</v>
      </c>
      <c r="Z41" s="86">
        <v>44827.93969907407</v>
      </c>
      <c r="AA41" s="86">
        <v>44827.93969907407</v>
      </c>
      <c r="AB41" s="82"/>
      <c r="AC41" s="82"/>
      <c r="AD41" s="82"/>
      <c r="AE41" s="82">
        <v>1</v>
      </c>
      <c r="AF41" s="81">
        <v>3</v>
      </c>
      <c r="AG41" s="81">
        <v>3</v>
      </c>
      <c r="AH41" s="49">
        <v>0</v>
      </c>
      <c r="AI41" s="50">
        <v>0</v>
      </c>
      <c r="AJ41" s="49">
        <v>1</v>
      </c>
      <c r="AK41" s="110">
        <v>9.090909090909092</v>
      </c>
      <c r="AL41" s="49">
        <v>0</v>
      </c>
      <c r="AM41" s="50">
        <v>0</v>
      </c>
      <c r="AN41" s="49">
        <v>2</v>
      </c>
      <c r="AO41" s="110">
        <v>18.181818181818183</v>
      </c>
      <c r="AP41" s="49">
        <v>11</v>
      </c>
    </row>
    <row r="42" spans="1:42" ht="15">
      <c r="A42" s="66" t="s">
        <v>261</v>
      </c>
      <c r="B42" s="66" t="s">
        <v>265</v>
      </c>
      <c r="C42" s="67" t="s">
        <v>404</v>
      </c>
      <c r="D42" s="68">
        <v>3</v>
      </c>
      <c r="E42" s="69"/>
      <c r="F42" s="70">
        <v>40</v>
      </c>
      <c r="G42" s="67"/>
      <c r="H42" s="71"/>
      <c r="I42" s="72"/>
      <c r="J42" s="72"/>
      <c r="K42" s="35" t="s">
        <v>65</v>
      </c>
      <c r="L42" s="80">
        <v>42</v>
      </c>
      <c r="M42" s="80"/>
      <c r="N42" s="74"/>
      <c r="O42" s="82" t="s">
        <v>406</v>
      </c>
      <c r="P42" s="82" t="s">
        <v>197</v>
      </c>
      <c r="Q42" s="82" t="s">
        <v>440</v>
      </c>
      <c r="R42" s="82" t="s">
        <v>261</v>
      </c>
      <c r="S42" s="82" t="s">
        <v>582</v>
      </c>
      <c r="T42" s="84" t="str">
        <f>HYPERLINK("http://www.youtube.com/channel/UC-4-LSPMEGXHZqGJNaXLnEw")</f>
        <v>http://www.youtube.com/channel/UC-4-LSPMEGXHZqGJNaXLnEw</v>
      </c>
      <c r="U42" s="82"/>
      <c r="V42" s="82" t="s">
        <v>700</v>
      </c>
      <c r="W42" s="84" t="str">
        <f>HYPERLINK("https://www.youtube.com/watch?v=nKS8X8XsQPo")</f>
        <v>https://www.youtube.com/watch?v=nKS8X8XsQPo</v>
      </c>
      <c r="X42" s="82" t="s">
        <v>735</v>
      </c>
      <c r="Y42" s="82">
        <v>0</v>
      </c>
      <c r="Z42" s="86">
        <v>44827.999756944446</v>
      </c>
      <c r="AA42" s="86">
        <v>44827.999756944446</v>
      </c>
      <c r="AB42" s="82"/>
      <c r="AC42" s="82"/>
      <c r="AD42" s="82"/>
      <c r="AE42" s="82">
        <v>1</v>
      </c>
      <c r="AF42" s="81">
        <v>3</v>
      </c>
      <c r="AG42" s="81">
        <v>3</v>
      </c>
      <c r="AH42" s="49">
        <v>0</v>
      </c>
      <c r="AI42" s="50">
        <v>0</v>
      </c>
      <c r="AJ42" s="49">
        <v>0</v>
      </c>
      <c r="AK42" s="50">
        <v>0</v>
      </c>
      <c r="AL42" s="49">
        <v>0</v>
      </c>
      <c r="AM42" s="50">
        <v>0</v>
      </c>
      <c r="AN42" s="49">
        <v>4</v>
      </c>
      <c r="AO42" s="110">
        <v>66.66666666666667</v>
      </c>
      <c r="AP42" s="49">
        <v>6</v>
      </c>
    </row>
    <row r="43" spans="1:42" ht="15">
      <c r="A43" s="66" t="s">
        <v>262</v>
      </c>
      <c r="B43" s="66" t="s">
        <v>265</v>
      </c>
      <c r="C43" s="67" t="s">
        <v>404</v>
      </c>
      <c r="D43" s="68">
        <v>3</v>
      </c>
      <c r="E43" s="69"/>
      <c r="F43" s="70">
        <v>40</v>
      </c>
      <c r="G43" s="67"/>
      <c r="H43" s="71"/>
      <c r="I43" s="72"/>
      <c r="J43" s="72"/>
      <c r="K43" s="35" t="s">
        <v>65</v>
      </c>
      <c r="L43" s="80">
        <v>43</v>
      </c>
      <c r="M43" s="80"/>
      <c r="N43" s="74"/>
      <c r="O43" s="82" t="s">
        <v>406</v>
      </c>
      <c r="P43" s="82" t="s">
        <v>197</v>
      </c>
      <c r="Q43" s="82" t="s">
        <v>441</v>
      </c>
      <c r="R43" s="82" t="s">
        <v>262</v>
      </c>
      <c r="S43" s="82" t="s">
        <v>583</v>
      </c>
      <c r="T43" s="84" t="str">
        <f>HYPERLINK("http://www.youtube.com/channel/UCxvaRkdxJnvwqokP28A39Dw")</f>
        <v>http://www.youtube.com/channel/UCxvaRkdxJnvwqokP28A39Dw</v>
      </c>
      <c r="U43" s="82"/>
      <c r="V43" s="82" t="s">
        <v>700</v>
      </c>
      <c r="W43" s="84" t="str">
        <f>HYPERLINK("https://www.youtube.com/watch?v=nKS8X8XsQPo")</f>
        <v>https://www.youtube.com/watch?v=nKS8X8XsQPo</v>
      </c>
      <c r="X43" s="82" t="s">
        <v>735</v>
      </c>
      <c r="Y43" s="82">
        <v>0</v>
      </c>
      <c r="Z43" s="86">
        <v>44828.085914351854</v>
      </c>
      <c r="AA43" s="86">
        <v>44828.085914351854</v>
      </c>
      <c r="AB43" s="82"/>
      <c r="AC43" s="82"/>
      <c r="AD43" s="82"/>
      <c r="AE43" s="82">
        <v>1</v>
      </c>
      <c r="AF43" s="81">
        <v>3</v>
      </c>
      <c r="AG43" s="81">
        <v>3</v>
      </c>
      <c r="AH43" s="49">
        <v>0</v>
      </c>
      <c r="AI43" s="50">
        <v>0</v>
      </c>
      <c r="AJ43" s="49">
        <v>2</v>
      </c>
      <c r="AK43" s="110">
        <v>9.090909090909092</v>
      </c>
      <c r="AL43" s="49">
        <v>0</v>
      </c>
      <c r="AM43" s="50">
        <v>0</v>
      </c>
      <c r="AN43" s="49">
        <v>11</v>
      </c>
      <c r="AO43" s="50">
        <v>50</v>
      </c>
      <c r="AP43" s="49">
        <v>22</v>
      </c>
    </row>
    <row r="44" spans="1:42" ht="15">
      <c r="A44" s="66" t="s">
        <v>263</v>
      </c>
      <c r="B44" s="66" t="s">
        <v>265</v>
      </c>
      <c r="C44" s="67" t="s">
        <v>404</v>
      </c>
      <c r="D44" s="68">
        <v>3</v>
      </c>
      <c r="E44" s="69"/>
      <c r="F44" s="70">
        <v>40</v>
      </c>
      <c r="G44" s="67"/>
      <c r="H44" s="71"/>
      <c r="I44" s="72"/>
      <c r="J44" s="72"/>
      <c r="K44" s="35" t="s">
        <v>65</v>
      </c>
      <c r="L44" s="80">
        <v>44</v>
      </c>
      <c r="M44" s="80"/>
      <c r="N44" s="74"/>
      <c r="O44" s="82" t="s">
        <v>406</v>
      </c>
      <c r="P44" s="82" t="s">
        <v>197</v>
      </c>
      <c r="Q44" s="82" t="s">
        <v>442</v>
      </c>
      <c r="R44" s="82" t="s">
        <v>263</v>
      </c>
      <c r="S44" s="82" t="s">
        <v>584</v>
      </c>
      <c r="T44" s="84" t="str">
        <f>HYPERLINK("http://www.youtube.com/channel/UC-bnCEG6CUesjPqM1UXPHJQ")</f>
        <v>http://www.youtube.com/channel/UC-bnCEG6CUesjPqM1UXPHJQ</v>
      </c>
      <c r="U44" s="82"/>
      <c r="V44" s="82" t="s">
        <v>700</v>
      </c>
      <c r="W44" s="84" t="str">
        <f>HYPERLINK("https://www.youtube.com/watch?v=nKS8X8XsQPo")</f>
        <v>https://www.youtube.com/watch?v=nKS8X8XsQPo</v>
      </c>
      <c r="X44" s="82" t="s">
        <v>735</v>
      </c>
      <c r="Y44" s="82">
        <v>0</v>
      </c>
      <c r="Z44" s="86">
        <v>44828.75912037037</v>
      </c>
      <c r="AA44" s="86">
        <v>44828.75912037037</v>
      </c>
      <c r="AB44" s="82"/>
      <c r="AC44" s="82"/>
      <c r="AD44" s="82"/>
      <c r="AE44" s="82">
        <v>1</v>
      </c>
      <c r="AF44" s="81">
        <v>3</v>
      </c>
      <c r="AG44" s="81">
        <v>3</v>
      </c>
      <c r="AH44" s="49">
        <v>1</v>
      </c>
      <c r="AI44" s="110">
        <v>2.4390243902439024</v>
      </c>
      <c r="AJ44" s="49">
        <v>3</v>
      </c>
      <c r="AK44" s="110">
        <v>7.317073170731708</v>
      </c>
      <c r="AL44" s="49">
        <v>0</v>
      </c>
      <c r="AM44" s="50">
        <v>0</v>
      </c>
      <c r="AN44" s="49">
        <v>14</v>
      </c>
      <c r="AO44" s="110">
        <v>34.146341463414636</v>
      </c>
      <c r="AP44" s="49">
        <v>41</v>
      </c>
    </row>
    <row r="45" spans="1:42" ht="15">
      <c r="A45" s="66" t="s">
        <v>264</v>
      </c>
      <c r="B45" s="66" t="s">
        <v>265</v>
      </c>
      <c r="C45" s="67" t="s">
        <v>404</v>
      </c>
      <c r="D45" s="68">
        <v>3</v>
      </c>
      <c r="E45" s="69"/>
      <c r="F45" s="70">
        <v>40</v>
      </c>
      <c r="G45" s="67"/>
      <c r="H45" s="71"/>
      <c r="I45" s="72"/>
      <c r="J45" s="72"/>
      <c r="K45" s="35" t="s">
        <v>65</v>
      </c>
      <c r="L45" s="80">
        <v>45</v>
      </c>
      <c r="M45" s="80"/>
      <c r="N45" s="74"/>
      <c r="O45" s="82" t="s">
        <v>406</v>
      </c>
      <c r="P45" s="82" t="s">
        <v>197</v>
      </c>
      <c r="Q45" s="82" t="s">
        <v>443</v>
      </c>
      <c r="R45" s="82" t="s">
        <v>264</v>
      </c>
      <c r="S45" s="82" t="s">
        <v>585</v>
      </c>
      <c r="T45" s="84" t="str">
        <f>HYPERLINK("http://www.youtube.com/channel/UCUkS5FumCzDHdGu3JVnej8Q")</f>
        <v>http://www.youtube.com/channel/UCUkS5FumCzDHdGu3JVnej8Q</v>
      </c>
      <c r="U45" s="82"/>
      <c r="V45" s="82" t="s">
        <v>700</v>
      </c>
      <c r="W45" s="84" t="str">
        <f>HYPERLINK("https://www.youtube.com/watch?v=nKS8X8XsQPo")</f>
        <v>https://www.youtube.com/watch?v=nKS8X8XsQPo</v>
      </c>
      <c r="X45" s="82" t="s">
        <v>735</v>
      </c>
      <c r="Y45" s="82">
        <v>1</v>
      </c>
      <c r="Z45" s="86">
        <v>44829.81704861111</v>
      </c>
      <c r="AA45" s="86">
        <v>44829.81704861111</v>
      </c>
      <c r="AB45" s="82"/>
      <c r="AC45" s="82"/>
      <c r="AD45" s="82"/>
      <c r="AE45" s="82">
        <v>1</v>
      </c>
      <c r="AF45" s="81">
        <v>3</v>
      </c>
      <c r="AG45" s="81">
        <v>3</v>
      </c>
      <c r="AH45" s="49">
        <v>0</v>
      </c>
      <c r="AI45" s="50">
        <v>0</v>
      </c>
      <c r="AJ45" s="49">
        <v>0</v>
      </c>
      <c r="AK45" s="50">
        <v>0</v>
      </c>
      <c r="AL45" s="49">
        <v>0</v>
      </c>
      <c r="AM45" s="50">
        <v>0</v>
      </c>
      <c r="AN45" s="49">
        <v>5</v>
      </c>
      <c r="AO45" s="110">
        <v>41.666666666666664</v>
      </c>
      <c r="AP45" s="49">
        <v>12</v>
      </c>
    </row>
    <row r="46" spans="1:42" ht="15">
      <c r="A46" s="66" t="s">
        <v>265</v>
      </c>
      <c r="B46" s="66" t="s">
        <v>265</v>
      </c>
      <c r="C46" s="67" t="s">
        <v>405</v>
      </c>
      <c r="D46" s="68">
        <v>3</v>
      </c>
      <c r="E46" s="69"/>
      <c r="F46" s="70">
        <v>40</v>
      </c>
      <c r="G46" s="67"/>
      <c r="H46" s="71"/>
      <c r="I46" s="72"/>
      <c r="J46" s="72"/>
      <c r="K46" s="35" t="s">
        <v>65</v>
      </c>
      <c r="L46" s="80">
        <v>46</v>
      </c>
      <c r="M46" s="80"/>
      <c r="N46" s="74"/>
      <c r="O46" s="82" t="s">
        <v>407</v>
      </c>
      <c r="P46" s="82"/>
      <c r="Q46" s="82"/>
      <c r="R46" s="82"/>
      <c r="S46" s="82"/>
      <c r="T46" s="82"/>
      <c r="U46" s="82"/>
      <c r="V46" s="82" t="s">
        <v>692</v>
      </c>
      <c r="W46" s="84" t="str">
        <f>HYPERLINK("https://www.youtube.com/watch?v=HeygX8UYhCA")</f>
        <v>https://www.youtube.com/watch?v=HeygX8UYhCA</v>
      </c>
      <c r="X46" s="82"/>
      <c r="Y46" s="82"/>
      <c r="Z46" s="86">
        <v>45178.1587037037</v>
      </c>
      <c r="AA46" s="82"/>
      <c r="AB46" s="82"/>
      <c r="AC46" s="82"/>
      <c r="AD46" s="82"/>
      <c r="AE46" s="82">
        <v>16</v>
      </c>
      <c r="AF46" s="81">
        <v>3</v>
      </c>
      <c r="AG46" s="81">
        <v>3</v>
      </c>
      <c r="AH46" s="49"/>
      <c r="AI46" s="50"/>
      <c r="AJ46" s="49"/>
      <c r="AK46" s="50"/>
      <c r="AL46" s="49"/>
      <c r="AM46" s="50"/>
      <c r="AN46" s="49"/>
      <c r="AO46" s="50"/>
      <c r="AP46" s="49"/>
    </row>
    <row r="47" spans="1:42" ht="15">
      <c r="A47" s="66" t="s">
        <v>266</v>
      </c>
      <c r="B47" s="66" t="s">
        <v>265</v>
      </c>
      <c r="C47" s="67" t="s">
        <v>404</v>
      </c>
      <c r="D47" s="68">
        <v>3</v>
      </c>
      <c r="E47" s="69"/>
      <c r="F47" s="70">
        <v>40</v>
      </c>
      <c r="G47" s="67"/>
      <c r="H47" s="71"/>
      <c r="I47" s="72"/>
      <c r="J47" s="72"/>
      <c r="K47" s="35" t="s">
        <v>65</v>
      </c>
      <c r="L47" s="80">
        <v>47</v>
      </c>
      <c r="M47" s="80"/>
      <c r="N47" s="74"/>
      <c r="O47" s="82" t="s">
        <v>406</v>
      </c>
      <c r="P47" s="82" t="s">
        <v>197</v>
      </c>
      <c r="Q47" s="82" t="s">
        <v>444</v>
      </c>
      <c r="R47" s="82" t="s">
        <v>266</v>
      </c>
      <c r="S47" s="82" t="s">
        <v>586</v>
      </c>
      <c r="T47" s="84" t="str">
        <f>HYPERLINK("http://www.youtube.com/channel/UC7z436f18FU7J14H1xj2L4g")</f>
        <v>http://www.youtube.com/channel/UC7z436f18FU7J14H1xj2L4g</v>
      </c>
      <c r="U47" s="82"/>
      <c r="V47" s="82" t="s">
        <v>700</v>
      </c>
      <c r="W47" s="84" t="str">
        <f>HYPERLINK("https://www.youtube.com/watch?v=nKS8X8XsQPo")</f>
        <v>https://www.youtube.com/watch?v=nKS8X8XsQPo</v>
      </c>
      <c r="X47" s="82" t="s">
        <v>735</v>
      </c>
      <c r="Y47" s="82">
        <v>0</v>
      </c>
      <c r="Z47" s="86">
        <v>44830.73290509259</v>
      </c>
      <c r="AA47" s="86">
        <v>44830.73290509259</v>
      </c>
      <c r="AB47" s="82"/>
      <c r="AC47" s="82"/>
      <c r="AD47" s="82"/>
      <c r="AE47" s="82">
        <v>1</v>
      </c>
      <c r="AF47" s="81">
        <v>3</v>
      </c>
      <c r="AG47" s="81">
        <v>3</v>
      </c>
      <c r="AH47" s="49">
        <v>0</v>
      </c>
      <c r="AI47" s="50">
        <v>0</v>
      </c>
      <c r="AJ47" s="49">
        <v>4</v>
      </c>
      <c r="AK47" s="110">
        <v>30.76923076923077</v>
      </c>
      <c r="AL47" s="49">
        <v>0</v>
      </c>
      <c r="AM47" s="50">
        <v>0</v>
      </c>
      <c r="AN47" s="49">
        <v>3</v>
      </c>
      <c r="AO47" s="110">
        <v>23.076923076923077</v>
      </c>
      <c r="AP47" s="49">
        <v>13</v>
      </c>
    </row>
    <row r="48" spans="1:42" ht="15">
      <c r="A48" s="66" t="s">
        <v>267</v>
      </c>
      <c r="B48" s="66" t="s">
        <v>270</v>
      </c>
      <c r="C48" s="67" t="s">
        <v>404</v>
      </c>
      <c r="D48" s="68">
        <v>3</v>
      </c>
      <c r="E48" s="69"/>
      <c r="F48" s="70">
        <v>40</v>
      </c>
      <c r="G48" s="67"/>
      <c r="H48" s="71"/>
      <c r="I48" s="72"/>
      <c r="J48" s="72"/>
      <c r="K48" s="35" t="s">
        <v>65</v>
      </c>
      <c r="L48" s="80">
        <v>48</v>
      </c>
      <c r="M48" s="80"/>
      <c r="N48" s="74"/>
      <c r="O48" s="82" t="s">
        <v>406</v>
      </c>
      <c r="P48" s="82" t="s">
        <v>197</v>
      </c>
      <c r="Q48" s="82" t="s">
        <v>445</v>
      </c>
      <c r="R48" s="82" t="s">
        <v>267</v>
      </c>
      <c r="S48" s="82" t="s">
        <v>587</v>
      </c>
      <c r="T48" s="84" t="str">
        <f>HYPERLINK("http://www.youtube.com/channel/UCBxcAy_pS-jN5Q7vvVissXg")</f>
        <v>http://www.youtube.com/channel/UCBxcAy_pS-jN5Q7vvVissXg</v>
      </c>
      <c r="U48" s="82"/>
      <c r="V48" s="82" t="s">
        <v>701</v>
      </c>
      <c r="W48" s="84" t="str">
        <f>HYPERLINK("https://www.youtube.com/watch?v=3R20g2rhFYw")</f>
        <v>https://www.youtube.com/watch?v=3R20g2rhFYw</v>
      </c>
      <c r="X48" s="82" t="s">
        <v>735</v>
      </c>
      <c r="Y48" s="82">
        <v>0</v>
      </c>
      <c r="Z48" s="86">
        <v>43677.87965277778</v>
      </c>
      <c r="AA48" s="86">
        <v>43677.87965277778</v>
      </c>
      <c r="AB48" s="82"/>
      <c r="AC48" s="82"/>
      <c r="AD48" s="82"/>
      <c r="AE48" s="82">
        <v>1</v>
      </c>
      <c r="AF48" s="81">
        <v>6</v>
      </c>
      <c r="AG48" s="81">
        <v>6</v>
      </c>
      <c r="AH48" s="49">
        <v>0</v>
      </c>
      <c r="AI48" s="50">
        <v>0</v>
      </c>
      <c r="AJ48" s="49">
        <v>0</v>
      </c>
      <c r="AK48" s="50">
        <v>0</v>
      </c>
      <c r="AL48" s="49">
        <v>0</v>
      </c>
      <c r="AM48" s="50">
        <v>0</v>
      </c>
      <c r="AN48" s="49">
        <v>3</v>
      </c>
      <c r="AO48" s="110">
        <v>33.333333333333336</v>
      </c>
      <c r="AP48" s="49">
        <v>9</v>
      </c>
    </row>
    <row r="49" spans="1:42" ht="15">
      <c r="A49" s="66" t="s">
        <v>268</v>
      </c>
      <c r="B49" s="66" t="s">
        <v>270</v>
      </c>
      <c r="C49" s="67" t="s">
        <v>404</v>
      </c>
      <c r="D49" s="68">
        <v>3</v>
      </c>
      <c r="E49" s="69"/>
      <c r="F49" s="70">
        <v>40</v>
      </c>
      <c r="G49" s="67"/>
      <c r="H49" s="71"/>
      <c r="I49" s="72"/>
      <c r="J49" s="72"/>
      <c r="K49" s="35" t="s">
        <v>65</v>
      </c>
      <c r="L49" s="80">
        <v>49</v>
      </c>
      <c r="M49" s="80"/>
      <c r="N49" s="74"/>
      <c r="O49" s="82" t="s">
        <v>406</v>
      </c>
      <c r="P49" s="82" t="s">
        <v>197</v>
      </c>
      <c r="Q49" s="82" t="s">
        <v>446</v>
      </c>
      <c r="R49" s="82" t="s">
        <v>268</v>
      </c>
      <c r="S49" s="82" t="s">
        <v>588</v>
      </c>
      <c r="T49" s="84" t="str">
        <f>HYPERLINK("http://www.youtube.com/channel/UCixMKBGxWZb9QzO3C-8ZUcg")</f>
        <v>http://www.youtube.com/channel/UCixMKBGxWZb9QzO3C-8ZUcg</v>
      </c>
      <c r="U49" s="82"/>
      <c r="V49" s="82" t="s">
        <v>701</v>
      </c>
      <c r="W49" s="84" t="str">
        <f>HYPERLINK("https://www.youtube.com/watch?v=3R20g2rhFYw")</f>
        <v>https://www.youtube.com/watch?v=3R20g2rhFYw</v>
      </c>
      <c r="X49" s="82" t="s">
        <v>735</v>
      </c>
      <c r="Y49" s="82">
        <v>0</v>
      </c>
      <c r="Z49" s="86">
        <v>43686.439305555556</v>
      </c>
      <c r="AA49" s="86">
        <v>43686.439305555556</v>
      </c>
      <c r="AB49" s="82"/>
      <c r="AC49" s="82"/>
      <c r="AD49" s="82"/>
      <c r="AE49" s="82">
        <v>1</v>
      </c>
      <c r="AF49" s="81">
        <v>6</v>
      </c>
      <c r="AG49" s="81">
        <v>6</v>
      </c>
      <c r="AH49" s="49">
        <v>0</v>
      </c>
      <c r="AI49" s="50">
        <v>0</v>
      </c>
      <c r="AJ49" s="49">
        <v>0</v>
      </c>
      <c r="AK49" s="50">
        <v>0</v>
      </c>
      <c r="AL49" s="49">
        <v>0</v>
      </c>
      <c r="AM49" s="50">
        <v>0</v>
      </c>
      <c r="AN49" s="49">
        <v>9</v>
      </c>
      <c r="AO49" s="110">
        <v>69.23076923076923</v>
      </c>
      <c r="AP49" s="49">
        <v>13</v>
      </c>
    </row>
    <row r="50" spans="1:42" ht="15">
      <c r="A50" s="66" t="s">
        <v>269</v>
      </c>
      <c r="B50" s="66" t="s">
        <v>270</v>
      </c>
      <c r="C50" s="67" t="s">
        <v>404</v>
      </c>
      <c r="D50" s="68">
        <v>3</v>
      </c>
      <c r="E50" s="69"/>
      <c r="F50" s="70">
        <v>40</v>
      </c>
      <c r="G50" s="67"/>
      <c r="H50" s="71"/>
      <c r="I50" s="72"/>
      <c r="J50" s="72"/>
      <c r="K50" s="35" t="s">
        <v>65</v>
      </c>
      <c r="L50" s="80">
        <v>50</v>
      </c>
      <c r="M50" s="80"/>
      <c r="N50" s="74"/>
      <c r="O50" s="82" t="s">
        <v>406</v>
      </c>
      <c r="P50" s="82" t="s">
        <v>197</v>
      </c>
      <c r="Q50" s="82" t="s">
        <v>447</v>
      </c>
      <c r="R50" s="82" t="s">
        <v>269</v>
      </c>
      <c r="S50" s="82" t="s">
        <v>589</v>
      </c>
      <c r="T50" s="84" t="str">
        <f>HYPERLINK("http://www.youtube.com/channel/UCvnYe5ZbewHESm-Z-_sTDTQ")</f>
        <v>http://www.youtube.com/channel/UCvnYe5ZbewHESm-Z-_sTDTQ</v>
      </c>
      <c r="U50" s="82"/>
      <c r="V50" s="82" t="s">
        <v>701</v>
      </c>
      <c r="W50" s="84" t="str">
        <f>HYPERLINK("https://www.youtube.com/watch?v=3R20g2rhFYw")</f>
        <v>https://www.youtube.com/watch?v=3R20g2rhFYw</v>
      </c>
      <c r="X50" s="82" t="s">
        <v>735</v>
      </c>
      <c r="Y50" s="82">
        <v>1</v>
      </c>
      <c r="Z50" s="86">
        <v>43692.63748842593</v>
      </c>
      <c r="AA50" s="86">
        <v>43692.63748842593</v>
      </c>
      <c r="AB50" s="82"/>
      <c r="AC50" s="82"/>
      <c r="AD50" s="82"/>
      <c r="AE50" s="82">
        <v>1</v>
      </c>
      <c r="AF50" s="81">
        <v>6</v>
      </c>
      <c r="AG50" s="81">
        <v>6</v>
      </c>
      <c r="AH50" s="49">
        <v>1</v>
      </c>
      <c r="AI50" s="110">
        <v>4.3478260869565215</v>
      </c>
      <c r="AJ50" s="49">
        <v>0</v>
      </c>
      <c r="AK50" s="50">
        <v>0</v>
      </c>
      <c r="AL50" s="49">
        <v>0</v>
      </c>
      <c r="AM50" s="50">
        <v>0</v>
      </c>
      <c r="AN50" s="49">
        <v>6</v>
      </c>
      <c r="AO50" s="110">
        <v>26.08695652173913</v>
      </c>
      <c r="AP50" s="49">
        <v>23</v>
      </c>
    </row>
    <row r="51" spans="1:42" ht="15">
      <c r="A51" s="66" t="s">
        <v>270</v>
      </c>
      <c r="B51" s="66" t="s">
        <v>270</v>
      </c>
      <c r="C51" s="67" t="s">
        <v>1783</v>
      </c>
      <c r="D51" s="68">
        <v>3</v>
      </c>
      <c r="E51" s="69"/>
      <c r="F51" s="70">
        <v>40</v>
      </c>
      <c r="G51" s="67"/>
      <c r="H51" s="71"/>
      <c r="I51" s="72"/>
      <c r="J51" s="72"/>
      <c r="K51" s="35" t="s">
        <v>65</v>
      </c>
      <c r="L51" s="80">
        <v>51</v>
      </c>
      <c r="M51" s="80"/>
      <c r="N51" s="74"/>
      <c r="O51" s="82" t="s">
        <v>406</v>
      </c>
      <c r="P51" s="82" t="s">
        <v>197</v>
      </c>
      <c r="Q51" s="82" t="s">
        <v>448</v>
      </c>
      <c r="R51" s="82" t="s">
        <v>270</v>
      </c>
      <c r="S51" s="82" t="s">
        <v>590</v>
      </c>
      <c r="T51" s="84" t="str">
        <f>HYPERLINK("http://www.youtube.com/channel/UC4ljqPLcbaPXA8KI73vPLhg")</f>
        <v>http://www.youtube.com/channel/UC4ljqPLcbaPXA8KI73vPLhg</v>
      </c>
      <c r="U51" s="82"/>
      <c r="V51" s="82" t="s">
        <v>701</v>
      </c>
      <c r="W51" s="84" t="str">
        <f>HYPERLINK("https://www.youtube.com/watch?v=3R20g2rhFYw")</f>
        <v>https://www.youtube.com/watch?v=3R20g2rhFYw</v>
      </c>
      <c r="X51" s="82" t="s">
        <v>735</v>
      </c>
      <c r="Y51" s="82">
        <v>0</v>
      </c>
      <c r="Z51" s="86">
        <v>43677.88383101852</v>
      </c>
      <c r="AA51" s="86">
        <v>43677.88631944444</v>
      </c>
      <c r="AB51" s="82" t="s">
        <v>736</v>
      </c>
      <c r="AC51" s="82" t="s">
        <v>738</v>
      </c>
      <c r="AD51" s="82"/>
      <c r="AE51" s="82">
        <v>4</v>
      </c>
      <c r="AF51" s="81">
        <v>6</v>
      </c>
      <c r="AG51" s="81">
        <v>6</v>
      </c>
      <c r="AH51" s="49">
        <v>0</v>
      </c>
      <c r="AI51" s="50">
        <v>0</v>
      </c>
      <c r="AJ51" s="49">
        <v>0</v>
      </c>
      <c r="AK51" s="50">
        <v>0</v>
      </c>
      <c r="AL51" s="49">
        <v>0</v>
      </c>
      <c r="AM51" s="50">
        <v>0</v>
      </c>
      <c r="AN51" s="49">
        <v>19</v>
      </c>
      <c r="AO51" s="110">
        <v>48.717948717948715</v>
      </c>
      <c r="AP51" s="49">
        <v>39</v>
      </c>
    </row>
    <row r="52" spans="1:42" ht="15">
      <c r="A52" s="66" t="s">
        <v>271</v>
      </c>
      <c r="B52" s="66" t="s">
        <v>270</v>
      </c>
      <c r="C52" s="67" t="s">
        <v>404</v>
      </c>
      <c r="D52" s="68">
        <v>3</v>
      </c>
      <c r="E52" s="69"/>
      <c r="F52" s="70">
        <v>40</v>
      </c>
      <c r="G52" s="67"/>
      <c r="H52" s="71"/>
      <c r="I52" s="72"/>
      <c r="J52" s="72"/>
      <c r="K52" s="35" t="s">
        <v>65</v>
      </c>
      <c r="L52" s="80">
        <v>52</v>
      </c>
      <c r="M52" s="80"/>
      <c r="N52" s="74"/>
      <c r="O52" s="82" t="s">
        <v>406</v>
      </c>
      <c r="P52" s="82" t="s">
        <v>197</v>
      </c>
      <c r="Q52" s="82" t="s">
        <v>449</v>
      </c>
      <c r="R52" s="82" t="s">
        <v>271</v>
      </c>
      <c r="S52" s="82" t="s">
        <v>591</v>
      </c>
      <c r="T52" s="84" t="str">
        <f>HYPERLINK("http://www.youtube.com/channel/UCm0u5u7zlWVOFzy-YHjK24w")</f>
        <v>http://www.youtube.com/channel/UCm0u5u7zlWVOFzy-YHjK24w</v>
      </c>
      <c r="U52" s="82"/>
      <c r="V52" s="82" t="s">
        <v>701</v>
      </c>
      <c r="W52" s="84" t="str">
        <f>HYPERLINK("https://www.youtube.com/watch?v=3R20g2rhFYw")</f>
        <v>https://www.youtube.com/watch?v=3R20g2rhFYw</v>
      </c>
      <c r="X52" s="82" t="s">
        <v>735</v>
      </c>
      <c r="Y52" s="82">
        <v>0</v>
      </c>
      <c r="Z52" s="86">
        <v>44276.78055555555</v>
      </c>
      <c r="AA52" s="86">
        <v>44276.78055555555</v>
      </c>
      <c r="AB52" s="82"/>
      <c r="AC52" s="82"/>
      <c r="AD52" s="82"/>
      <c r="AE52" s="82">
        <v>1</v>
      </c>
      <c r="AF52" s="81">
        <v>6</v>
      </c>
      <c r="AG52" s="81">
        <v>6</v>
      </c>
      <c r="AH52" s="49">
        <v>2</v>
      </c>
      <c r="AI52" s="110">
        <v>13.333333333333334</v>
      </c>
      <c r="AJ52" s="49">
        <v>0</v>
      </c>
      <c r="AK52" s="50">
        <v>0</v>
      </c>
      <c r="AL52" s="49">
        <v>0</v>
      </c>
      <c r="AM52" s="50">
        <v>0</v>
      </c>
      <c r="AN52" s="49">
        <v>6</v>
      </c>
      <c r="AO52" s="50">
        <v>40</v>
      </c>
      <c r="AP52" s="49">
        <v>15</v>
      </c>
    </row>
    <row r="53" spans="1:42" ht="15">
      <c r="A53" s="66" t="s">
        <v>272</v>
      </c>
      <c r="B53" s="66" t="s">
        <v>273</v>
      </c>
      <c r="C53" s="67" t="s">
        <v>404</v>
      </c>
      <c r="D53" s="68">
        <v>3</v>
      </c>
      <c r="E53" s="69"/>
      <c r="F53" s="70">
        <v>40</v>
      </c>
      <c r="G53" s="67"/>
      <c r="H53" s="71"/>
      <c r="I53" s="72"/>
      <c r="J53" s="72"/>
      <c r="K53" s="35" t="s">
        <v>65</v>
      </c>
      <c r="L53" s="80">
        <v>53</v>
      </c>
      <c r="M53" s="80"/>
      <c r="N53" s="74"/>
      <c r="O53" s="82" t="s">
        <v>406</v>
      </c>
      <c r="P53" s="82" t="s">
        <v>197</v>
      </c>
      <c r="Q53" s="82" t="s">
        <v>450</v>
      </c>
      <c r="R53" s="82" t="s">
        <v>272</v>
      </c>
      <c r="S53" s="82" t="s">
        <v>592</v>
      </c>
      <c r="T53" s="84" t="str">
        <f>HYPERLINK("http://www.youtube.com/channel/UCT6EoNl-Na6TYfdKtNTCY5A")</f>
        <v>http://www.youtube.com/channel/UCT6EoNl-Na6TYfdKtNTCY5A</v>
      </c>
      <c r="U53" s="82"/>
      <c r="V53" s="82" t="s">
        <v>702</v>
      </c>
      <c r="W53" s="84" t="str">
        <f>HYPERLINK("https://www.youtube.com/watch?v=td26-eY3Dak")</f>
        <v>https://www.youtube.com/watch?v=td26-eY3Dak</v>
      </c>
      <c r="X53" s="82" t="s">
        <v>735</v>
      </c>
      <c r="Y53" s="82">
        <v>0</v>
      </c>
      <c r="Z53" s="86">
        <v>44302.209398148145</v>
      </c>
      <c r="AA53" s="86">
        <v>44302.209398148145</v>
      </c>
      <c r="AB53" s="82"/>
      <c r="AC53" s="82"/>
      <c r="AD53" s="82"/>
      <c r="AE53" s="82">
        <v>1</v>
      </c>
      <c r="AF53" s="81">
        <v>10</v>
      </c>
      <c r="AG53" s="81">
        <v>10</v>
      </c>
      <c r="AH53" s="49">
        <v>0</v>
      </c>
      <c r="AI53" s="50">
        <v>0</v>
      </c>
      <c r="AJ53" s="49">
        <v>0</v>
      </c>
      <c r="AK53" s="50">
        <v>0</v>
      </c>
      <c r="AL53" s="49">
        <v>0</v>
      </c>
      <c r="AM53" s="50">
        <v>0</v>
      </c>
      <c r="AN53" s="49">
        <v>6</v>
      </c>
      <c r="AO53" s="110">
        <v>35.294117647058826</v>
      </c>
      <c r="AP53" s="49">
        <v>17</v>
      </c>
    </row>
    <row r="54" spans="1:42" ht="15">
      <c r="A54" s="66" t="s">
        <v>273</v>
      </c>
      <c r="B54" s="66" t="s">
        <v>273</v>
      </c>
      <c r="C54" s="67" t="s">
        <v>404</v>
      </c>
      <c r="D54" s="68">
        <v>3</v>
      </c>
      <c r="E54" s="69"/>
      <c r="F54" s="70">
        <v>40</v>
      </c>
      <c r="G54" s="67"/>
      <c r="H54" s="71"/>
      <c r="I54" s="72"/>
      <c r="J54" s="72"/>
      <c r="K54" s="35" t="s">
        <v>65</v>
      </c>
      <c r="L54" s="80">
        <v>54</v>
      </c>
      <c r="M54" s="80"/>
      <c r="N54" s="74"/>
      <c r="O54" s="82" t="s">
        <v>407</v>
      </c>
      <c r="P54" s="82"/>
      <c r="Q54" s="82"/>
      <c r="R54" s="82"/>
      <c r="S54" s="82"/>
      <c r="T54" s="82"/>
      <c r="U54" s="82"/>
      <c r="V54" s="82" t="s">
        <v>702</v>
      </c>
      <c r="W54" s="84" t="str">
        <f>HYPERLINK("https://www.youtube.com/watch?v=td26-eY3Dak")</f>
        <v>https://www.youtube.com/watch?v=td26-eY3Dak</v>
      </c>
      <c r="X54" s="82"/>
      <c r="Y54" s="82"/>
      <c r="Z54" s="86">
        <v>44302.19644675926</v>
      </c>
      <c r="AA54" s="82"/>
      <c r="AB54" s="82"/>
      <c r="AC54" s="82"/>
      <c r="AD54" s="82"/>
      <c r="AE54" s="82">
        <v>1</v>
      </c>
      <c r="AF54" s="81">
        <v>10</v>
      </c>
      <c r="AG54" s="81">
        <v>10</v>
      </c>
      <c r="AH54" s="49"/>
      <c r="AI54" s="50"/>
      <c r="AJ54" s="49"/>
      <c r="AK54" s="50"/>
      <c r="AL54" s="49"/>
      <c r="AM54" s="50"/>
      <c r="AN54" s="49"/>
      <c r="AO54" s="50"/>
      <c r="AP54" s="49"/>
    </row>
    <row r="55" spans="1:42" ht="15">
      <c r="A55" s="66" t="s">
        <v>274</v>
      </c>
      <c r="B55" s="66" t="s">
        <v>275</v>
      </c>
      <c r="C55" s="67" t="s">
        <v>404</v>
      </c>
      <c r="D55" s="68">
        <v>3</v>
      </c>
      <c r="E55" s="69"/>
      <c r="F55" s="70">
        <v>40</v>
      </c>
      <c r="G55" s="67"/>
      <c r="H55" s="71"/>
      <c r="I55" s="72"/>
      <c r="J55" s="72"/>
      <c r="K55" s="35" t="s">
        <v>65</v>
      </c>
      <c r="L55" s="80">
        <v>55</v>
      </c>
      <c r="M55" s="80"/>
      <c r="N55" s="74"/>
      <c r="O55" s="82" t="s">
        <v>406</v>
      </c>
      <c r="P55" s="82" t="s">
        <v>197</v>
      </c>
      <c r="Q55" s="82" t="s">
        <v>451</v>
      </c>
      <c r="R55" s="82" t="s">
        <v>274</v>
      </c>
      <c r="S55" s="82" t="s">
        <v>593</v>
      </c>
      <c r="T55" s="84" t="str">
        <f>HYPERLINK("http://www.youtube.com/channel/UC526t1OIrjqS7bvHnEFJIBw")</f>
        <v>http://www.youtube.com/channel/UC526t1OIrjqS7bvHnEFJIBw</v>
      </c>
      <c r="U55" s="82"/>
      <c r="V55" s="82" t="s">
        <v>703</v>
      </c>
      <c r="W55" s="84" t="str">
        <f>HYPERLINK("https://www.youtube.com/watch?v=SmHak99S7D0")</f>
        <v>https://www.youtube.com/watch?v=SmHak99S7D0</v>
      </c>
      <c r="X55" s="82" t="s">
        <v>735</v>
      </c>
      <c r="Y55" s="82">
        <v>1</v>
      </c>
      <c r="Z55" s="86">
        <v>45109.78262731482</v>
      </c>
      <c r="AA55" s="86">
        <v>45109.78262731482</v>
      </c>
      <c r="AB55" s="82"/>
      <c r="AC55" s="82"/>
      <c r="AD55" s="82"/>
      <c r="AE55" s="82">
        <v>1</v>
      </c>
      <c r="AF55" s="81">
        <v>8</v>
      </c>
      <c r="AG55" s="81">
        <v>8</v>
      </c>
      <c r="AH55" s="49">
        <v>2</v>
      </c>
      <c r="AI55" s="110">
        <v>28.571428571428573</v>
      </c>
      <c r="AJ55" s="49">
        <v>0</v>
      </c>
      <c r="AK55" s="50">
        <v>0</v>
      </c>
      <c r="AL55" s="49">
        <v>0</v>
      </c>
      <c r="AM55" s="50">
        <v>0</v>
      </c>
      <c r="AN55" s="49">
        <v>0</v>
      </c>
      <c r="AO55" s="50">
        <v>0</v>
      </c>
      <c r="AP55" s="49">
        <v>7</v>
      </c>
    </row>
    <row r="56" spans="1:42" ht="15">
      <c r="A56" s="66" t="s">
        <v>275</v>
      </c>
      <c r="B56" s="66" t="s">
        <v>275</v>
      </c>
      <c r="C56" s="67" t="s">
        <v>404</v>
      </c>
      <c r="D56" s="68">
        <v>3</v>
      </c>
      <c r="E56" s="69"/>
      <c r="F56" s="70">
        <v>40</v>
      </c>
      <c r="G56" s="67"/>
      <c r="H56" s="71"/>
      <c r="I56" s="72"/>
      <c r="J56" s="72"/>
      <c r="K56" s="35" t="s">
        <v>65</v>
      </c>
      <c r="L56" s="80">
        <v>56</v>
      </c>
      <c r="M56" s="80"/>
      <c r="N56" s="74"/>
      <c r="O56" s="82" t="s">
        <v>407</v>
      </c>
      <c r="P56" s="82"/>
      <c r="Q56" s="82"/>
      <c r="R56" s="82"/>
      <c r="S56" s="82"/>
      <c r="T56" s="82"/>
      <c r="U56" s="82"/>
      <c r="V56" s="82" t="s">
        <v>703</v>
      </c>
      <c r="W56" s="84" t="str">
        <f>HYPERLINK("https://www.youtube.com/watch?v=SmHak99S7D0")</f>
        <v>https://www.youtube.com/watch?v=SmHak99S7D0</v>
      </c>
      <c r="X56" s="82"/>
      <c r="Y56" s="82"/>
      <c r="Z56" s="86">
        <v>45109.75555555556</v>
      </c>
      <c r="AA56" s="82"/>
      <c r="AB56" s="82"/>
      <c r="AC56" s="82"/>
      <c r="AD56" s="82"/>
      <c r="AE56" s="82">
        <v>1</v>
      </c>
      <c r="AF56" s="81">
        <v>8</v>
      </c>
      <c r="AG56" s="81">
        <v>8</v>
      </c>
      <c r="AH56" s="49"/>
      <c r="AI56" s="50"/>
      <c r="AJ56" s="49"/>
      <c r="AK56" s="50"/>
      <c r="AL56" s="49"/>
      <c r="AM56" s="50"/>
      <c r="AN56" s="49"/>
      <c r="AO56" s="50"/>
      <c r="AP56" s="49"/>
    </row>
    <row r="57" spans="1:42" ht="15">
      <c r="A57" s="66" t="s">
        <v>276</v>
      </c>
      <c r="B57" s="66" t="s">
        <v>275</v>
      </c>
      <c r="C57" s="67" t="s">
        <v>404</v>
      </c>
      <c r="D57" s="68">
        <v>3</v>
      </c>
      <c r="E57" s="69"/>
      <c r="F57" s="70">
        <v>40</v>
      </c>
      <c r="G57" s="67"/>
      <c r="H57" s="71"/>
      <c r="I57" s="72"/>
      <c r="J57" s="72"/>
      <c r="K57" s="35" t="s">
        <v>65</v>
      </c>
      <c r="L57" s="80">
        <v>57</v>
      </c>
      <c r="M57" s="80"/>
      <c r="N57" s="74"/>
      <c r="O57" s="82" t="s">
        <v>406</v>
      </c>
      <c r="P57" s="82" t="s">
        <v>197</v>
      </c>
      <c r="Q57" s="82" t="s">
        <v>452</v>
      </c>
      <c r="R57" s="82" t="s">
        <v>276</v>
      </c>
      <c r="S57" s="82" t="s">
        <v>594</v>
      </c>
      <c r="T57" s="84" t="str">
        <f>HYPERLINK("http://www.youtube.com/channel/UCEO_1xjI50wCbR4qgqVJ62A")</f>
        <v>http://www.youtube.com/channel/UCEO_1xjI50wCbR4qgqVJ62A</v>
      </c>
      <c r="U57" s="82"/>
      <c r="V57" s="82" t="s">
        <v>703</v>
      </c>
      <c r="W57" s="84" t="str">
        <f>HYPERLINK("https://www.youtube.com/watch?v=SmHak99S7D0")</f>
        <v>https://www.youtube.com/watch?v=SmHak99S7D0</v>
      </c>
      <c r="X57" s="82" t="s">
        <v>735</v>
      </c>
      <c r="Y57" s="82">
        <v>1</v>
      </c>
      <c r="Z57" s="86">
        <v>45152.39350694444</v>
      </c>
      <c r="AA57" s="86">
        <v>45152.39350694444</v>
      </c>
      <c r="AB57" s="82"/>
      <c r="AC57" s="82"/>
      <c r="AD57" s="82"/>
      <c r="AE57" s="82">
        <v>1</v>
      </c>
      <c r="AF57" s="81">
        <v>8</v>
      </c>
      <c r="AG57" s="81">
        <v>8</v>
      </c>
      <c r="AH57" s="49">
        <v>0</v>
      </c>
      <c r="AI57" s="50">
        <v>0</v>
      </c>
      <c r="AJ57" s="49">
        <v>0</v>
      </c>
      <c r="AK57" s="50">
        <v>0</v>
      </c>
      <c r="AL57" s="49">
        <v>0</v>
      </c>
      <c r="AM57" s="50">
        <v>0</v>
      </c>
      <c r="AN57" s="49">
        <v>1</v>
      </c>
      <c r="AO57" s="50">
        <v>12.5</v>
      </c>
      <c r="AP57" s="49">
        <v>8</v>
      </c>
    </row>
    <row r="58" spans="1:42" ht="15">
      <c r="A58" s="66" t="s">
        <v>277</v>
      </c>
      <c r="B58" s="66" t="s">
        <v>279</v>
      </c>
      <c r="C58" s="67" t="s">
        <v>404</v>
      </c>
      <c r="D58" s="68">
        <v>3</v>
      </c>
      <c r="E58" s="69"/>
      <c r="F58" s="70">
        <v>40</v>
      </c>
      <c r="G58" s="67"/>
      <c r="H58" s="71"/>
      <c r="I58" s="72"/>
      <c r="J58" s="72"/>
      <c r="K58" s="35" t="s">
        <v>65</v>
      </c>
      <c r="L58" s="80">
        <v>58</v>
      </c>
      <c r="M58" s="80"/>
      <c r="N58" s="74"/>
      <c r="O58" s="82" t="s">
        <v>406</v>
      </c>
      <c r="P58" s="82" t="s">
        <v>197</v>
      </c>
      <c r="Q58" s="82" t="s">
        <v>453</v>
      </c>
      <c r="R58" s="82" t="s">
        <v>277</v>
      </c>
      <c r="S58" s="82" t="s">
        <v>595</v>
      </c>
      <c r="T58" s="84" t="str">
        <f>HYPERLINK("http://www.youtube.com/channel/UChjx21hiMTlfhgfwBHsckIw")</f>
        <v>http://www.youtube.com/channel/UChjx21hiMTlfhgfwBHsckIw</v>
      </c>
      <c r="U58" s="82"/>
      <c r="V58" s="82" t="s">
        <v>704</v>
      </c>
      <c r="W58" s="84" t="str">
        <f>HYPERLINK("https://www.youtube.com/watch?v=HRqaxX9d1KY")</f>
        <v>https://www.youtube.com/watch?v=HRqaxX9d1KY</v>
      </c>
      <c r="X58" s="82" t="s">
        <v>735</v>
      </c>
      <c r="Y58" s="82">
        <v>1</v>
      </c>
      <c r="Z58" s="86">
        <v>44595.6772337963</v>
      </c>
      <c r="AA58" s="86">
        <v>44595.6772337963</v>
      </c>
      <c r="AB58" s="82" t="s">
        <v>737</v>
      </c>
      <c r="AC58" s="82" t="s">
        <v>739</v>
      </c>
      <c r="AD58" s="82"/>
      <c r="AE58" s="82">
        <v>1</v>
      </c>
      <c r="AF58" s="81">
        <v>7</v>
      </c>
      <c r="AG58" s="81">
        <v>7</v>
      </c>
      <c r="AH58" s="49">
        <v>3</v>
      </c>
      <c r="AI58" s="110">
        <v>13.043478260869565</v>
      </c>
      <c r="AJ58" s="49">
        <v>0</v>
      </c>
      <c r="AK58" s="50">
        <v>0</v>
      </c>
      <c r="AL58" s="49">
        <v>0</v>
      </c>
      <c r="AM58" s="50">
        <v>0</v>
      </c>
      <c r="AN58" s="49">
        <v>7</v>
      </c>
      <c r="AO58" s="110">
        <v>30.434782608695652</v>
      </c>
      <c r="AP58" s="49">
        <v>23</v>
      </c>
    </row>
    <row r="59" spans="1:42" ht="15">
      <c r="A59" s="66" t="s">
        <v>278</v>
      </c>
      <c r="B59" s="66" t="s">
        <v>279</v>
      </c>
      <c r="C59" s="67" t="s">
        <v>404</v>
      </c>
      <c r="D59" s="68">
        <v>3</v>
      </c>
      <c r="E59" s="69"/>
      <c r="F59" s="70">
        <v>40</v>
      </c>
      <c r="G59" s="67"/>
      <c r="H59" s="71"/>
      <c r="I59" s="72"/>
      <c r="J59" s="72"/>
      <c r="K59" s="35" t="s">
        <v>65</v>
      </c>
      <c r="L59" s="80">
        <v>59</v>
      </c>
      <c r="M59" s="80"/>
      <c r="N59" s="74"/>
      <c r="O59" s="82" t="s">
        <v>406</v>
      </c>
      <c r="P59" s="82" t="s">
        <v>197</v>
      </c>
      <c r="Q59" s="82" t="s">
        <v>454</v>
      </c>
      <c r="R59" s="82" t="s">
        <v>278</v>
      </c>
      <c r="S59" s="82" t="s">
        <v>596</v>
      </c>
      <c r="T59" s="84" t="str">
        <f>HYPERLINK("http://www.youtube.com/channel/UChXz-P6I7WEkj4SrLhck-9A")</f>
        <v>http://www.youtube.com/channel/UChXz-P6I7WEkj4SrLhck-9A</v>
      </c>
      <c r="U59" s="82"/>
      <c r="V59" s="82" t="s">
        <v>704</v>
      </c>
      <c r="W59" s="84" t="str">
        <f>HYPERLINK("https://www.youtube.com/watch?v=HRqaxX9d1KY")</f>
        <v>https://www.youtube.com/watch?v=HRqaxX9d1KY</v>
      </c>
      <c r="X59" s="82" t="s">
        <v>735</v>
      </c>
      <c r="Y59" s="82">
        <v>0</v>
      </c>
      <c r="Z59" s="86">
        <v>44596.261469907404</v>
      </c>
      <c r="AA59" s="86">
        <v>44596.261469907404</v>
      </c>
      <c r="AB59" s="82"/>
      <c r="AC59" s="82"/>
      <c r="AD59" s="82"/>
      <c r="AE59" s="82">
        <v>1</v>
      </c>
      <c r="AF59" s="81">
        <v>7</v>
      </c>
      <c r="AG59" s="81">
        <v>7</v>
      </c>
      <c r="AH59" s="49">
        <v>1</v>
      </c>
      <c r="AI59" s="110">
        <v>16.666666666666668</v>
      </c>
      <c r="AJ59" s="49">
        <v>0</v>
      </c>
      <c r="AK59" s="50">
        <v>0</v>
      </c>
      <c r="AL59" s="49">
        <v>0</v>
      </c>
      <c r="AM59" s="50">
        <v>0</v>
      </c>
      <c r="AN59" s="49">
        <v>4</v>
      </c>
      <c r="AO59" s="110">
        <v>66.66666666666667</v>
      </c>
      <c r="AP59" s="49">
        <v>6</v>
      </c>
    </row>
    <row r="60" spans="1:42" ht="15">
      <c r="A60" s="66" t="s">
        <v>279</v>
      </c>
      <c r="B60" s="66" t="s">
        <v>279</v>
      </c>
      <c r="C60" s="67" t="s">
        <v>404</v>
      </c>
      <c r="D60" s="68">
        <v>3</v>
      </c>
      <c r="E60" s="69"/>
      <c r="F60" s="70">
        <v>40</v>
      </c>
      <c r="G60" s="67"/>
      <c r="H60" s="71"/>
      <c r="I60" s="72"/>
      <c r="J60" s="72"/>
      <c r="K60" s="35" t="s">
        <v>65</v>
      </c>
      <c r="L60" s="80">
        <v>60</v>
      </c>
      <c r="M60" s="80"/>
      <c r="N60" s="74"/>
      <c r="O60" s="82" t="s">
        <v>407</v>
      </c>
      <c r="P60" s="82"/>
      <c r="Q60" s="82"/>
      <c r="R60" s="82"/>
      <c r="S60" s="82"/>
      <c r="T60" s="82"/>
      <c r="U60" s="82"/>
      <c r="V60" s="82" t="s">
        <v>704</v>
      </c>
      <c r="W60" s="84" t="str">
        <f>HYPERLINK("https://www.youtube.com/watch?v=HRqaxX9d1KY")</f>
        <v>https://www.youtube.com/watch?v=HRqaxX9d1KY</v>
      </c>
      <c r="X60" s="82"/>
      <c r="Y60" s="82"/>
      <c r="Z60" s="86">
        <v>44595.632893518516</v>
      </c>
      <c r="AA60" s="82"/>
      <c r="AB60" s="82"/>
      <c r="AC60" s="82"/>
      <c r="AD60" s="82"/>
      <c r="AE60" s="82">
        <v>1</v>
      </c>
      <c r="AF60" s="81">
        <v>7</v>
      </c>
      <c r="AG60" s="81">
        <v>7</v>
      </c>
      <c r="AH60" s="49"/>
      <c r="AI60" s="50"/>
      <c r="AJ60" s="49"/>
      <c r="AK60" s="50"/>
      <c r="AL60" s="49"/>
      <c r="AM60" s="50"/>
      <c r="AN60" s="49"/>
      <c r="AO60" s="50"/>
      <c r="AP60" s="49"/>
    </row>
    <row r="61" spans="1:42" ht="15">
      <c r="A61" s="66" t="s">
        <v>280</v>
      </c>
      <c r="B61" s="66" t="s">
        <v>279</v>
      </c>
      <c r="C61" s="67" t="s">
        <v>404</v>
      </c>
      <c r="D61" s="68">
        <v>3</v>
      </c>
      <c r="E61" s="69"/>
      <c r="F61" s="70">
        <v>40</v>
      </c>
      <c r="G61" s="67"/>
      <c r="H61" s="71"/>
      <c r="I61" s="72"/>
      <c r="J61" s="72"/>
      <c r="K61" s="35" t="s">
        <v>65</v>
      </c>
      <c r="L61" s="80">
        <v>61</v>
      </c>
      <c r="M61" s="80"/>
      <c r="N61" s="74"/>
      <c r="O61" s="82" t="s">
        <v>406</v>
      </c>
      <c r="P61" s="82" t="s">
        <v>197</v>
      </c>
      <c r="Q61" s="82" t="s">
        <v>455</v>
      </c>
      <c r="R61" s="82" t="s">
        <v>280</v>
      </c>
      <c r="S61" s="82" t="s">
        <v>597</v>
      </c>
      <c r="T61" s="84" t="str">
        <f>HYPERLINK("http://www.youtube.com/channel/UCVRcC3-UyDw6AoxP_x12FzQ")</f>
        <v>http://www.youtube.com/channel/UCVRcC3-UyDw6AoxP_x12FzQ</v>
      </c>
      <c r="U61" s="82"/>
      <c r="V61" s="82" t="s">
        <v>704</v>
      </c>
      <c r="W61" s="84" t="str">
        <f>HYPERLINK("https://www.youtube.com/watch?v=HRqaxX9d1KY")</f>
        <v>https://www.youtube.com/watch?v=HRqaxX9d1KY</v>
      </c>
      <c r="X61" s="82" t="s">
        <v>735</v>
      </c>
      <c r="Y61" s="82">
        <v>0</v>
      </c>
      <c r="Z61" s="86">
        <v>44821.223078703704</v>
      </c>
      <c r="AA61" s="86">
        <v>44821.223078703704</v>
      </c>
      <c r="AB61" s="82"/>
      <c r="AC61" s="82"/>
      <c r="AD61" s="82"/>
      <c r="AE61" s="82">
        <v>1</v>
      </c>
      <c r="AF61" s="81">
        <v>7</v>
      </c>
      <c r="AG61" s="81">
        <v>7</v>
      </c>
      <c r="AH61" s="49">
        <v>1</v>
      </c>
      <c r="AI61" s="110">
        <v>33.333333333333336</v>
      </c>
      <c r="AJ61" s="49">
        <v>0</v>
      </c>
      <c r="AK61" s="50">
        <v>0</v>
      </c>
      <c r="AL61" s="49">
        <v>0</v>
      </c>
      <c r="AM61" s="50">
        <v>0</v>
      </c>
      <c r="AN61" s="49">
        <v>0</v>
      </c>
      <c r="AO61" s="50">
        <v>0</v>
      </c>
      <c r="AP61" s="49">
        <v>3</v>
      </c>
    </row>
    <row r="62" spans="1:42" ht="15">
      <c r="A62" s="66" t="s">
        <v>281</v>
      </c>
      <c r="B62" s="66" t="s">
        <v>372</v>
      </c>
      <c r="C62" s="67" t="s">
        <v>404</v>
      </c>
      <c r="D62" s="68">
        <v>3</v>
      </c>
      <c r="E62" s="69"/>
      <c r="F62" s="70">
        <v>40</v>
      </c>
      <c r="G62" s="67"/>
      <c r="H62" s="71"/>
      <c r="I62" s="72"/>
      <c r="J62" s="72"/>
      <c r="K62" s="35" t="s">
        <v>65</v>
      </c>
      <c r="L62" s="80">
        <v>62</v>
      </c>
      <c r="M62" s="80"/>
      <c r="N62" s="74"/>
      <c r="O62" s="82" t="s">
        <v>406</v>
      </c>
      <c r="P62" s="82" t="s">
        <v>197</v>
      </c>
      <c r="Q62" s="82" t="s">
        <v>456</v>
      </c>
      <c r="R62" s="82" t="s">
        <v>281</v>
      </c>
      <c r="S62" s="82" t="s">
        <v>598</v>
      </c>
      <c r="T62" s="84" t="str">
        <f>HYPERLINK("http://www.youtube.com/channel/UCIkVw-7ZJmnvoSLvR_EVDuw")</f>
        <v>http://www.youtube.com/channel/UCIkVw-7ZJmnvoSLvR_EVDuw</v>
      </c>
      <c r="U62" s="82"/>
      <c r="V62" s="82" t="s">
        <v>705</v>
      </c>
      <c r="W62" s="84" t="str">
        <f>HYPERLINK("https://www.youtube.com/watch?v=OnEGLhO0ZkA")</f>
        <v>https://www.youtube.com/watch?v=OnEGLhO0ZkA</v>
      </c>
      <c r="X62" s="82" t="s">
        <v>735</v>
      </c>
      <c r="Y62" s="82">
        <v>0</v>
      </c>
      <c r="Z62" s="86">
        <v>43743.844502314816</v>
      </c>
      <c r="AA62" s="86">
        <v>43743.844502314816</v>
      </c>
      <c r="AB62" s="82"/>
      <c r="AC62" s="82"/>
      <c r="AD62" s="82"/>
      <c r="AE62" s="82">
        <v>1</v>
      </c>
      <c r="AF62" s="81">
        <v>1</v>
      </c>
      <c r="AG62" s="81">
        <v>1</v>
      </c>
      <c r="AH62" s="49">
        <v>3</v>
      </c>
      <c r="AI62" s="110">
        <v>5.882352941176471</v>
      </c>
      <c r="AJ62" s="49">
        <v>0</v>
      </c>
      <c r="AK62" s="50">
        <v>0</v>
      </c>
      <c r="AL62" s="49">
        <v>0</v>
      </c>
      <c r="AM62" s="50">
        <v>0</v>
      </c>
      <c r="AN62" s="49">
        <v>16</v>
      </c>
      <c r="AO62" s="110">
        <v>31.372549019607842</v>
      </c>
      <c r="AP62" s="49">
        <v>51</v>
      </c>
    </row>
    <row r="63" spans="1:42" ht="15">
      <c r="A63" s="66" t="s">
        <v>282</v>
      </c>
      <c r="B63" s="66" t="s">
        <v>372</v>
      </c>
      <c r="C63" s="67" t="s">
        <v>404</v>
      </c>
      <c r="D63" s="68">
        <v>3</v>
      </c>
      <c r="E63" s="69"/>
      <c r="F63" s="70">
        <v>40</v>
      </c>
      <c r="G63" s="67"/>
      <c r="H63" s="71"/>
      <c r="I63" s="72"/>
      <c r="J63" s="72"/>
      <c r="K63" s="35" t="s">
        <v>65</v>
      </c>
      <c r="L63" s="80">
        <v>63</v>
      </c>
      <c r="M63" s="80"/>
      <c r="N63" s="74"/>
      <c r="O63" s="82" t="s">
        <v>406</v>
      </c>
      <c r="P63" s="82" t="s">
        <v>197</v>
      </c>
      <c r="Q63" s="82" t="s">
        <v>457</v>
      </c>
      <c r="R63" s="82" t="s">
        <v>282</v>
      </c>
      <c r="S63" s="82" t="s">
        <v>599</v>
      </c>
      <c r="T63" s="84" t="str">
        <f>HYPERLINK("http://www.youtube.com/channel/UC8o1tPWDu-BCJNUJzxdsdZQ")</f>
        <v>http://www.youtube.com/channel/UC8o1tPWDu-BCJNUJzxdsdZQ</v>
      </c>
      <c r="U63" s="82"/>
      <c r="V63" s="82" t="s">
        <v>705</v>
      </c>
      <c r="W63" s="84" t="str">
        <f>HYPERLINK("https://www.youtube.com/watch?v=OnEGLhO0ZkA")</f>
        <v>https://www.youtube.com/watch?v=OnEGLhO0ZkA</v>
      </c>
      <c r="X63" s="82" t="s">
        <v>735</v>
      </c>
      <c r="Y63" s="82">
        <v>7</v>
      </c>
      <c r="Z63" s="86">
        <v>43743.851006944446</v>
      </c>
      <c r="AA63" s="86">
        <v>43743.8515162037</v>
      </c>
      <c r="AB63" s="82"/>
      <c r="AC63" s="82"/>
      <c r="AD63" s="82"/>
      <c r="AE63" s="82">
        <v>1</v>
      </c>
      <c r="AF63" s="81">
        <v>1</v>
      </c>
      <c r="AG63" s="81">
        <v>1</v>
      </c>
      <c r="AH63" s="49">
        <v>6</v>
      </c>
      <c r="AI63" s="110">
        <v>17.142857142857142</v>
      </c>
      <c r="AJ63" s="49">
        <v>0</v>
      </c>
      <c r="AK63" s="50">
        <v>0</v>
      </c>
      <c r="AL63" s="49">
        <v>0</v>
      </c>
      <c r="AM63" s="50">
        <v>0</v>
      </c>
      <c r="AN63" s="49">
        <v>12</v>
      </c>
      <c r="AO63" s="110">
        <v>34.285714285714285</v>
      </c>
      <c r="AP63" s="49">
        <v>35</v>
      </c>
    </row>
    <row r="64" spans="1:42" ht="15">
      <c r="A64" s="66" t="s">
        <v>283</v>
      </c>
      <c r="B64" s="66" t="s">
        <v>372</v>
      </c>
      <c r="C64" s="67" t="s">
        <v>404</v>
      </c>
      <c r="D64" s="68">
        <v>3</v>
      </c>
      <c r="E64" s="69"/>
      <c r="F64" s="70">
        <v>40</v>
      </c>
      <c r="G64" s="67"/>
      <c r="H64" s="71"/>
      <c r="I64" s="72"/>
      <c r="J64" s="72"/>
      <c r="K64" s="35" t="s">
        <v>65</v>
      </c>
      <c r="L64" s="80">
        <v>64</v>
      </c>
      <c r="M64" s="80"/>
      <c r="N64" s="74"/>
      <c r="O64" s="82" t="s">
        <v>406</v>
      </c>
      <c r="P64" s="82" t="s">
        <v>197</v>
      </c>
      <c r="Q64" s="82" t="s">
        <v>458</v>
      </c>
      <c r="R64" s="82" t="s">
        <v>283</v>
      </c>
      <c r="S64" s="82" t="s">
        <v>600</v>
      </c>
      <c r="T64" s="84" t="str">
        <f>HYPERLINK("http://www.youtube.com/channel/UCjUQ4hGAkwC5BPHBwx9nvbQ")</f>
        <v>http://www.youtube.com/channel/UCjUQ4hGAkwC5BPHBwx9nvbQ</v>
      </c>
      <c r="U64" s="82"/>
      <c r="V64" s="82" t="s">
        <v>705</v>
      </c>
      <c r="W64" s="84" t="str">
        <f>HYPERLINK("https://www.youtube.com/watch?v=OnEGLhO0ZkA")</f>
        <v>https://www.youtube.com/watch?v=OnEGLhO0ZkA</v>
      </c>
      <c r="X64" s="82" t="s">
        <v>735</v>
      </c>
      <c r="Y64" s="82">
        <v>3</v>
      </c>
      <c r="Z64" s="86">
        <v>43743.862349537034</v>
      </c>
      <c r="AA64" s="86">
        <v>43743.862349537034</v>
      </c>
      <c r="AB64" s="82"/>
      <c r="AC64" s="82"/>
      <c r="AD64" s="82"/>
      <c r="AE64" s="82">
        <v>1</v>
      </c>
      <c r="AF64" s="81">
        <v>1</v>
      </c>
      <c r="AG64" s="81">
        <v>1</v>
      </c>
      <c r="AH64" s="49">
        <v>3</v>
      </c>
      <c r="AI64" s="110">
        <v>42.857142857142854</v>
      </c>
      <c r="AJ64" s="49">
        <v>0</v>
      </c>
      <c r="AK64" s="50">
        <v>0</v>
      </c>
      <c r="AL64" s="49">
        <v>0</v>
      </c>
      <c r="AM64" s="50">
        <v>0</v>
      </c>
      <c r="AN64" s="49">
        <v>4</v>
      </c>
      <c r="AO64" s="110">
        <v>57.142857142857146</v>
      </c>
      <c r="AP64" s="49">
        <v>7</v>
      </c>
    </row>
    <row r="65" spans="1:42" ht="15">
      <c r="A65" s="66" t="s">
        <v>284</v>
      </c>
      <c r="B65" s="66" t="s">
        <v>372</v>
      </c>
      <c r="C65" s="67" t="s">
        <v>404</v>
      </c>
      <c r="D65" s="68">
        <v>3</v>
      </c>
      <c r="E65" s="69"/>
      <c r="F65" s="70">
        <v>40</v>
      </c>
      <c r="G65" s="67"/>
      <c r="H65" s="71"/>
      <c r="I65" s="72"/>
      <c r="J65" s="72"/>
      <c r="K65" s="35" t="s">
        <v>65</v>
      </c>
      <c r="L65" s="80">
        <v>65</v>
      </c>
      <c r="M65" s="80"/>
      <c r="N65" s="74"/>
      <c r="O65" s="82" t="s">
        <v>406</v>
      </c>
      <c r="P65" s="82" t="s">
        <v>197</v>
      </c>
      <c r="Q65" s="82" t="s">
        <v>459</v>
      </c>
      <c r="R65" s="82" t="s">
        <v>284</v>
      </c>
      <c r="S65" s="82" t="s">
        <v>601</v>
      </c>
      <c r="T65" s="84" t="str">
        <f>HYPERLINK("http://www.youtube.com/channel/UCt-cEUPgKELe_mjOcXAzCxw")</f>
        <v>http://www.youtube.com/channel/UCt-cEUPgKELe_mjOcXAzCxw</v>
      </c>
      <c r="U65" s="82"/>
      <c r="V65" s="82" t="s">
        <v>705</v>
      </c>
      <c r="W65" s="84" t="str">
        <f>HYPERLINK("https://www.youtube.com/watch?v=OnEGLhO0ZkA")</f>
        <v>https://www.youtube.com/watch?v=OnEGLhO0ZkA</v>
      </c>
      <c r="X65" s="82" t="s">
        <v>735</v>
      </c>
      <c r="Y65" s="82">
        <v>1</v>
      </c>
      <c r="Z65" s="86">
        <v>43743.87018518519</v>
      </c>
      <c r="AA65" s="86">
        <v>43743.87018518519</v>
      </c>
      <c r="AB65" s="82"/>
      <c r="AC65" s="82"/>
      <c r="AD65" s="82"/>
      <c r="AE65" s="82">
        <v>1</v>
      </c>
      <c r="AF65" s="81">
        <v>1</v>
      </c>
      <c r="AG65" s="81">
        <v>1</v>
      </c>
      <c r="AH65" s="49">
        <v>0</v>
      </c>
      <c r="AI65" s="50">
        <v>0</v>
      </c>
      <c r="AJ65" s="49">
        <v>0</v>
      </c>
      <c r="AK65" s="50">
        <v>0</v>
      </c>
      <c r="AL65" s="49">
        <v>0</v>
      </c>
      <c r="AM65" s="50">
        <v>0</v>
      </c>
      <c r="AN65" s="49">
        <v>5</v>
      </c>
      <c r="AO65" s="50">
        <v>31.25</v>
      </c>
      <c r="AP65" s="49">
        <v>16</v>
      </c>
    </row>
    <row r="66" spans="1:42" ht="15">
      <c r="A66" s="66" t="s">
        <v>285</v>
      </c>
      <c r="B66" s="66" t="s">
        <v>372</v>
      </c>
      <c r="C66" s="67" t="s">
        <v>404</v>
      </c>
      <c r="D66" s="68">
        <v>3</v>
      </c>
      <c r="E66" s="69"/>
      <c r="F66" s="70">
        <v>40</v>
      </c>
      <c r="G66" s="67"/>
      <c r="H66" s="71"/>
      <c r="I66" s="72"/>
      <c r="J66" s="72"/>
      <c r="K66" s="35" t="s">
        <v>65</v>
      </c>
      <c r="L66" s="80">
        <v>66</v>
      </c>
      <c r="M66" s="80"/>
      <c r="N66" s="74"/>
      <c r="O66" s="82" t="s">
        <v>406</v>
      </c>
      <c r="P66" s="82" t="s">
        <v>197</v>
      </c>
      <c r="Q66" s="82" t="s">
        <v>460</v>
      </c>
      <c r="R66" s="82" t="s">
        <v>285</v>
      </c>
      <c r="S66" s="82" t="s">
        <v>602</v>
      </c>
      <c r="T66" s="84" t="str">
        <f>HYPERLINK("http://www.youtube.com/channel/UCYwBJTolTeCZFMr8r775XeA")</f>
        <v>http://www.youtube.com/channel/UCYwBJTolTeCZFMr8r775XeA</v>
      </c>
      <c r="U66" s="82"/>
      <c r="V66" s="82" t="s">
        <v>705</v>
      </c>
      <c r="W66" s="84" t="str">
        <f>HYPERLINK("https://www.youtube.com/watch?v=OnEGLhO0ZkA")</f>
        <v>https://www.youtube.com/watch?v=OnEGLhO0ZkA</v>
      </c>
      <c r="X66" s="82" t="s">
        <v>735</v>
      </c>
      <c r="Y66" s="82">
        <v>31</v>
      </c>
      <c r="Z66" s="86">
        <v>43743.87359953704</v>
      </c>
      <c r="AA66" s="86">
        <v>43743.87359953704</v>
      </c>
      <c r="AB66" s="82"/>
      <c r="AC66" s="82"/>
      <c r="AD66" s="82"/>
      <c r="AE66" s="82">
        <v>1</v>
      </c>
      <c r="AF66" s="81">
        <v>1</v>
      </c>
      <c r="AG66" s="81">
        <v>1</v>
      </c>
      <c r="AH66" s="49">
        <v>1</v>
      </c>
      <c r="AI66" s="110">
        <v>5.2631578947368425</v>
      </c>
      <c r="AJ66" s="49">
        <v>0</v>
      </c>
      <c r="AK66" s="50">
        <v>0</v>
      </c>
      <c r="AL66" s="49">
        <v>0</v>
      </c>
      <c r="AM66" s="50">
        <v>0</v>
      </c>
      <c r="AN66" s="49">
        <v>7</v>
      </c>
      <c r="AO66" s="110">
        <v>36.8421052631579</v>
      </c>
      <c r="AP66" s="49">
        <v>19</v>
      </c>
    </row>
    <row r="67" spans="1:42" ht="15">
      <c r="A67" s="66" t="s">
        <v>286</v>
      </c>
      <c r="B67" s="66" t="s">
        <v>372</v>
      </c>
      <c r="C67" s="67" t="s">
        <v>404</v>
      </c>
      <c r="D67" s="68">
        <v>3</v>
      </c>
      <c r="E67" s="69"/>
      <c r="F67" s="70">
        <v>40</v>
      </c>
      <c r="G67" s="67"/>
      <c r="H67" s="71"/>
      <c r="I67" s="72"/>
      <c r="J67" s="72"/>
      <c r="K67" s="35" t="s">
        <v>65</v>
      </c>
      <c r="L67" s="80">
        <v>67</v>
      </c>
      <c r="M67" s="80"/>
      <c r="N67" s="74"/>
      <c r="O67" s="82" t="s">
        <v>406</v>
      </c>
      <c r="P67" s="82" t="s">
        <v>197</v>
      </c>
      <c r="Q67" s="82" t="s">
        <v>461</v>
      </c>
      <c r="R67" s="82" t="s">
        <v>286</v>
      </c>
      <c r="S67" s="82" t="s">
        <v>603</v>
      </c>
      <c r="T67" s="84" t="str">
        <f>HYPERLINK("http://www.youtube.com/channel/UCaBeiVeg5hadiDDss6L5gtg")</f>
        <v>http://www.youtube.com/channel/UCaBeiVeg5hadiDDss6L5gtg</v>
      </c>
      <c r="U67" s="82"/>
      <c r="V67" s="82" t="s">
        <v>705</v>
      </c>
      <c r="W67" s="84" t="str">
        <f>HYPERLINK("https://www.youtube.com/watch?v=OnEGLhO0ZkA")</f>
        <v>https://www.youtube.com/watch?v=OnEGLhO0ZkA</v>
      </c>
      <c r="X67" s="82" t="s">
        <v>735</v>
      </c>
      <c r="Y67" s="82">
        <v>1</v>
      </c>
      <c r="Z67" s="86">
        <v>43743.8890625</v>
      </c>
      <c r="AA67" s="86">
        <v>43743.8890625</v>
      </c>
      <c r="AB67" s="82"/>
      <c r="AC67" s="82"/>
      <c r="AD67" s="82"/>
      <c r="AE67" s="82">
        <v>1</v>
      </c>
      <c r="AF67" s="81">
        <v>1</v>
      </c>
      <c r="AG67" s="81">
        <v>1</v>
      </c>
      <c r="AH67" s="49">
        <v>1</v>
      </c>
      <c r="AI67" s="110">
        <v>14.285714285714286</v>
      </c>
      <c r="AJ67" s="49">
        <v>0</v>
      </c>
      <c r="AK67" s="50">
        <v>0</v>
      </c>
      <c r="AL67" s="49">
        <v>0</v>
      </c>
      <c r="AM67" s="50">
        <v>0</v>
      </c>
      <c r="AN67" s="49">
        <v>2</v>
      </c>
      <c r="AO67" s="110">
        <v>28.571428571428573</v>
      </c>
      <c r="AP67" s="49">
        <v>7</v>
      </c>
    </row>
    <row r="68" spans="1:42" ht="15">
      <c r="A68" s="66" t="s">
        <v>287</v>
      </c>
      <c r="B68" s="66" t="s">
        <v>372</v>
      </c>
      <c r="C68" s="67" t="s">
        <v>404</v>
      </c>
      <c r="D68" s="68">
        <v>3</v>
      </c>
      <c r="E68" s="69"/>
      <c r="F68" s="70">
        <v>40</v>
      </c>
      <c r="G68" s="67"/>
      <c r="H68" s="71"/>
      <c r="I68" s="72"/>
      <c r="J68" s="72"/>
      <c r="K68" s="35" t="s">
        <v>65</v>
      </c>
      <c r="L68" s="80">
        <v>68</v>
      </c>
      <c r="M68" s="80"/>
      <c r="N68" s="74"/>
      <c r="O68" s="82" t="s">
        <v>406</v>
      </c>
      <c r="P68" s="82" t="s">
        <v>197</v>
      </c>
      <c r="Q68" s="82" t="s">
        <v>462</v>
      </c>
      <c r="R68" s="82" t="s">
        <v>287</v>
      </c>
      <c r="S68" s="82" t="s">
        <v>604</v>
      </c>
      <c r="T68" s="84" t="str">
        <f>HYPERLINK("http://www.youtube.com/channel/UC8WjHLxKVyYykE382cYP60w")</f>
        <v>http://www.youtube.com/channel/UC8WjHLxKVyYykE382cYP60w</v>
      </c>
      <c r="U68" s="82"/>
      <c r="V68" s="82" t="s">
        <v>705</v>
      </c>
      <c r="W68" s="84" t="str">
        <f>HYPERLINK("https://www.youtube.com/watch?v=OnEGLhO0ZkA")</f>
        <v>https://www.youtube.com/watch?v=OnEGLhO0ZkA</v>
      </c>
      <c r="X68" s="82" t="s">
        <v>735</v>
      </c>
      <c r="Y68" s="82">
        <v>11</v>
      </c>
      <c r="Z68" s="86">
        <v>43743.90049768519</v>
      </c>
      <c r="AA68" s="86">
        <v>43743.90049768519</v>
      </c>
      <c r="AB68" s="82"/>
      <c r="AC68" s="82"/>
      <c r="AD68" s="82"/>
      <c r="AE68" s="82">
        <v>1</v>
      </c>
      <c r="AF68" s="81">
        <v>1</v>
      </c>
      <c r="AG68" s="81">
        <v>1</v>
      </c>
      <c r="AH68" s="49">
        <v>1</v>
      </c>
      <c r="AI68" s="50">
        <v>12.5</v>
      </c>
      <c r="AJ68" s="49">
        <v>0</v>
      </c>
      <c r="AK68" s="50">
        <v>0</v>
      </c>
      <c r="AL68" s="49">
        <v>0</v>
      </c>
      <c r="AM68" s="50">
        <v>0</v>
      </c>
      <c r="AN68" s="49">
        <v>4</v>
      </c>
      <c r="AO68" s="50">
        <v>50</v>
      </c>
      <c r="AP68" s="49">
        <v>8</v>
      </c>
    </row>
    <row r="69" spans="1:42" ht="15">
      <c r="A69" s="66" t="s">
        <v>288</v>
      </c>
      <c r="B69" s="66" t="s">
        <v>372</v>
      </c>
      <c r="C69" s="67" t="s">
        <v>404</v>
      </c>
      <c r="D69" s="68">
        <v>3</v>
      </c>
      <c r="E69" s="69"/>
      <c r="F69" s="70">
        <v>40</v>
      </c>
      <c r="G69" s="67"/>
      <c r="H69" s="71"/>
      <c r="I69" s="72"/>
      <c r="J69" s="72"/>
      <c r="K69" s="35" t="s">
        <v>65</v>
      </c>
      <c r="L69" s="80">
        <v>69</v>
      </c>
      <c r="M69" s="80"/>
      <c r="N69" s="74"/>
      <c r="O69" s="82" t="s">
        <v>406</v>
      </c>
      <c r="P69" s="82" t="s">
        <v>197</v>
      </c>
      <c r="Q69" s="82" t="s">
        <v>463</v>
      </c>
      <c r="R69" s="82" t="s">
        <v>288</v>
      </c>
      <c r="S69" s="82" t="s">
        <v>605</v>
      </c>
      <c r="T69" s="84" t="str">
        <f>HYPERLINK("http://www.youtube.com/channel/UCfArVUQJlz5wMyjQlHvz3jA")</f>
        <v>http://www.youtube.com/channel/UCfArVUQJlz5wMyjQlHvz3jA</v>
      </c>
      <c r="U69" s="82"/>
      <c r="V69" s="82" t="s">
        <v>705</v>
      </c>
      <c r="W69" s="84" t="str">
        <f>HYPERLINK("https://www.youtube.com/watch?v=OnEGLhO0ZkA")</f>
        <v>https://www.youtube.com/watch?v=OnEGLhO0ZkA</v>
      </c>
      <c r="X69" s="82" t="s">
        <v>735</v>
      </c>
      <c r="Y69" s="82">
        <v>1</v>
      </c>
      <c r="Z69" s="86">
        <v>43743.908738425926</v>
      </c>
      <c r="AA69" s="86">
        <v>43743.908738425926</v>
      </c>
      <c r="AB69" s="82"/>
      <c r="AC69" s="82"/>
      <c r="AD69" s="82"/>
      <c r="AE69" s="82">
        <v>1</v>
      </c>
      <c r="AF69" s="81">
        <v>1</v>
      </c>
      <c r="AG69" s="81">
        <v>1</v>
      </c>
      <c r="AH69" s="49">
        <v>1</v>
      </c>
      <c r="AI69" s="110">
        <v>7.142857142857143</v>
      </c>
      <c r="AJ69" s="49">
        <v>0</v>
      </c>
      <c r="AK69" s="50">
        <v>0</v>
      </c>
      <c r="AL69" s="49">
        <v>0</v>
      </c>
      <c r="AM69" s="50">
        <v>0</v>
      </c>
      <c r="AN69" s="49">
        <v>2</v>
      </c>
      <c r="AO69" s="110">
        <v>14.285714285714286</v>
      </c>
      <c r="AP69" s="49">
        <v>14</v>
      </c>
    </row>
    <row r="70" spans="1:42" ht="15">
      <c r="A70" s="66" t="s">
        <v>289</v>
      </c>
      <c r="B70" s="66" t="s">
        <v>372</v>
      </c>
      <c r="C70" s="67" t="s">
        <v>404</v>
      </c>
      <c r="D70" s="68">
        <v>3</v>
      </c>
      <c r="E70" s="69"/>
      <c r="F70" s="70">
        <v>40</v>
      </c>
      <c r="G70" s="67"/>
      <c r="H70" s="71"/>
      <c r="I70" s="72"/>
      <c r="J70" s="72"/>
      <c r="K70" s="35" t="s">
        <v>65</v>
      </c>
      <c r="L70" s="80">
        <v>70</v>
      </c>
      <c r="M70" s="80"/>
      <c r="N70" s="74"/>
      <c r="O70" s="82" t="s">
        <v>406</v>
      </c>
      <c r="P70" s="82" t="s">
        <v>197</v>
      </c>
      <c r="Q70" s="82" t="s">
        <v>464</v>
      </c>
      <c r="R70" s="82" t="s">
        <v>289</v>
      </c>
      <c r="S70" s="82" t="s">
        <v>606</v>
      </c>
      <c r="T70" s="84" t="str">
        <f>HYPERLINK("http://www.youtube.com/channel/UCO8OT3BRG-5wBT8iw221U2A")</f>
        <v>http://www.youtube.com/channel/UCO8OT3BRG-5wBT8iw221U2A</v>
      </c>
      <c r="U70" s="82"/>
      <c r="V70" s="82" t="s">
        <v>705</v>
      </c>
      <c r="W70" s="84" t="str">
        <f>HYPERLINK("https://www.youtube.com/watch?v=OnEGLhO0ZkA")</f>
        <v>https://www.youtube.com/watch?v=OnEGLhO0ZkA</v>
      </c>
      <c r="X70" s="82" t="s">
        <v>735</v>
      </c>
      <c r="Y70" s="82">
        <v>1</v>
      </c>
      <c r="Z70" s="86">
        <v>43743.923738425925</v>
      </c>
      <c r="AA70" s="86">
        <v>43743.923738425925</v>
      </c>
      <c r="AB70" s="82"/>
      <c r="AC70" s="82"/>
      <c r="AD70" s="82"/>
      <c r="AE70" s="82">
        <v>1</v>
      </c>
      <c r="AF70" s="81">
        <v>1</v>
      </c>
      <c r="AG70" s="81">
        <v>1</v>
      </c>
      <c r="AH70" s="49">
        <v>2</v>
      </c>
      <c r="AI70" s="110">
        <v>18.181818181818183</v>
      </c>
      <c r="AJ70" s="49">
        <v>0</v>
      </c>
      <c r="AK70" s="50">
        <v>0</v>
      </c>
      <c r="AL70" s="49">
        <v>0</v>
      </c>
      <c r="AM70" s="50">
        <v>0</v>
      </c>
      <c r="AN70" s="49">
        <v>1</v>
      </c>
      <c r="AO70" s="110">
        <v>9.090909090909092</v>
      </c>
      <c r="AP70" s="49">
        <v>11</v>
      </c>
    </row>
    <row r="71" spans="1:42" ht="15">
      <c r="A71" s="66" t="s">
        <v>290</v>
      </c>
      <c r="B71" s="66" t="s">
        <v>372</v>
      </c>
      <c r="C71" s="67" t="s">
        <v>1784</v>
      </c>
      <c r="D71" s="68">
        <v>3</v>
      </c>
      <c r="E71" s="69"/>
      <c r="F71" s="70">
        <v>40</v>
      </c>
      <c r="G71" s="67"/>
      <c r="H71" s="71"/>
      <c r="I71" s="72"/>
      <c r="J71" s="72"/>
      <c r="K71" s="35" t="s">
        <v>65</v>
      </c>
      <c r="L71" s="80">
        <v>71</v>
      </c>
      <c r="M71" s="80"/>
      <c r="N71" s="74"/>
      <c r="O71" s="82" t="s">
        <v>406</v>
      </c>
      <c r="P71" s="82" t="s">
        <v>197</v>
      </c>
      <c r="Q71" s="82" t="s">
        <v>465</v>
      </c>
      <c r="R71" s="82" t="s">
        <v>290</v>
      </c>
      <c r="S71" s="82" t="s">
        <v>607</v>
      </c>
      <c r="T71" s="84" t="str">
        <f>HYPERLINK("http://www.youtube.com/channel/UCGH_hGQtNbU45-QrTWyoI-Q")</f>
        <v>http://www.youtube.com/channel/UCGH_hGQtNbU45-QrTWyoI-Q</v>
      </c>
      <c r="U71" s="82"/>
      <c r="V71" s="82" t="s">
        <v>705</v>
      </c>
      <c r="W71" s="84" t="str">
        <f>HYPERLINK("https://www.youtube.com/watch?v=OnEGLhO0ZkA")</f>
        <v>https://www.youtube.com/watch?v=OnEGLhO0ZkA</v>
      </c>
      <c r="X71" s="82" t="s">
        <v>735</v>
      </c>
      <c r="Y71" s="82">
        <v>4</v>
      </c>
      <c r="Z71" s="86">
        <v>43743.932118055556</v>
      </c>
      <c r="AA71" s="86">
        <v>43743.932118055556</v>
      </c>
      <c r="AB71" s="82"/>
      <c r="AC71" s="82"/>
      <c r="AD71" s="82"/>
      <c r="AE71" s="82">
        <v>9</v>
      </c>
      <c r="AF71" s="81">
        <v>1</v>
      </c>
      <c r="AG71" s="81">
        <v>1</v>
      </c>
      <c r="AH71" s="49">
        <v>1</v>
      </c>
      <c r="AI71" s="110">
        <v>1.9230769230769231</v>
      </c>
      <c r="AJ71" s="49">
        <v>0</v>
      </c>
      <c r="AK71" s="50">
        <v>0</v>
      </c>
      <c r="AL71" s="49">
        <v>0</v>
      </c>
      <c r="AM71" s="50">
        <v>0</v>
      </c>
      <c r="AN71" s="49">
        <v>18</v>
      </c>
      <c r="AO71" s="110">
        <v>34.61538461538461</v>
      </c>
      <c r="AP71" s="49">
        <v>52</v>
      </c>
    </row>
    <row r="72" spans="1:42" ht="15">
      <c r="A72" s="66" t="s">
        <v>291</v>
      </c>
      <c r="B72" s="66" t="s">
        <v>372</v>
      </c>
      <c r="C72" s="67" t="s">
        <v>404</v>
      </c>
      <c r="D72" s="68">
        <v>3</v>
      </c>
      <c r="E72" s="69"/>
      <c r="F72" s="70">
        <v>40</v>
      </c>
      <c r="G72" s="67"/>
      <c r="H72" s="71"/>
      <c r="I72" s="72"/>
      <c r="J72" s="72"/>
      <c r="K72" s="35" t="s">
        <v>65</v>
      </c>
      <c r="L72" s="80">
        <v>72</v>
      </c>
      <c r="M72" s="80"/>
      <c r="N72" s="74"/>
      <c r="O72" s="82" t="s">
        <v>406</v>
      </c>
      <c r="P72" s="82" t="s">
        <v>197</v>
      </c>
      <c r="Q72" s="82" t="s">
        <v>466</v>
      </c>
      <c r="R72" s="82" t="s">
        <v>291</v>
      </c>
      <c r="S72" s="82" t="s">
        <v>608</v>
      </c>
      <c r="T72" s="84" t="str">
        <f>HYPERLINK("http://www.youtube.com/channel/UC_ZD1HujKRBFY4iOvPzYGdA")</f>
        <v>http://www.youtube.com/channel/UC_ZD1HujKRBFY4iOvPzYGdA</v>
      </c>
      <c r="U72" s="82"/>
      <c r="V72" s="82" t="s">
        <v>705</v>
      </c>
      <c r="W72" s="84" t="str">
        <f>HYPERLINK("https://www.youtube.com/watch?v=OnEGLhO0ZkA")</f>
        <v>https://www.youtube.com/watch?v=OnEGLhO0ZkA</v>
      </c>
      <c r="X72" s="82" t="s">
        <v>735</v>
      </c>
      <c r="Y72" s="82">
        <v>1</v>
      </c>
      <c r="Z72" s="86">
        <v>43743.94803240741</v>
      </c>
      <c r="AA72" s="86">
        <v>43743.94803240741</v>
      </c>
      <c r="AB72" s="82"/>
      <c r="AC72" s="82"/>
      <c r="AD72" s="82"/>
      <c r="AE72" s="82">
        <v>1</v>
      </c>
      <c r="AF72" s="81">
        <v>1</v>
      </c>
      <c r="AG72" s="81">
        <v>1</v>
      </c>
      <c r="AH72" s="49">
        <v>0</v>
      </c>
      <c r="AI72" s="50">
        <v>0</v>
      </c>
      <c r="AJ72" s="49">
        <v>1</v>
      </c>
      <c r="AK72" s="50">
        <v>10</v>
      </c>
      <c r="AL72" s="49">
        <v>0</v>
      </c>
      <c r="AM72" s="50">
        <v>0</v>
      </c>
      <c r="AN72" s="49">
        <v>3</v>
      </c>
      <c r="AO72" s="50">
        <v>30</v>
      </c>
      <c r="AP72" s="49">
        <v>10</v>
      </c>
    </row>
    <row r="73" spans="1:42" ht="15">
      <c r="A73" s="66" t="s">
        <v>292</v>
      </c>
      <c r="B73" s="66" t="s">
        <v>372</v>
      </c>
      <c r="C73" s="67" t="s">
        <v>404</v>
      </c>
      <c r="D73" s="68">
        <v>3</v>
      </c>
      <c r="E73" s="69"/>
      <c r="F73" s="70">
        <v>40</v>
      </c>
      <c r="G73" s="67"/>
      <c r="H73" s="71"/>
      <c r="I73" s="72"/>
      <c r="J73" s="72"/>
      <c r="K73" s="35" t="s">
        <v>65</v>
      </c>
      <c r="L73" s="80">
        <v>73</v>
      </c>
      <c r="M73" s="80"/>
      <c r="N73" s="74"/>
      <c r="O73" s="82" t="s">
        <v>406</v>
      </c>
      <c r="P73" s="82" t="s">
        <v>197</v>
      </c>
      <c r="Q73" s="82" t="s">
        <v>467</v>
      </c>
      <c r="R73" s="82" t="s">
        <v>292</v>
      </c>
      <c r="S73" s="82" t="s">
        <v>609</v>
      </c>
      <c r="T73" s="84" t="str">
        <f>HYPERLINK("http://www.youtube.com/channel/UCXaUIMYGBNzAIe4a7bt88ng")</f>
        <v>http://www.youtube.com/channel/UCXaUIMYGBNzAIe4a7bt88ng</v>
      </c>
      <c r="U73" s="82"/>
      <c r="V73" s="82" t="s">
        <v>705</v>
      </c>
      <c r="W73" s="84" t="str">
        <f>HYPERLINK("https://www.youtube.com/watch?v=OnEGLhO0ZkA")</f>
        <v>https://www.youtube.com/watch?v=OnEGLhO0ZkA</v>
      </c>
      <c r="X73" s="82" t="s">
        <v>735</v>
      </c>
      <c r="Y73" s="82">
        <v>0</v>
      </c>
      <c r="Z73" s="86">
        <v>43743.94993055556</v>
      </c>
      <c r="AA73" s="86">
        <v>43743.979375</v>
      </c>
      <c r="AB73" s="82"/>
      <c r="AC73" s="82"/>
      <c r="AD73" s="82"/>
      <c r="AE73" s="82">
        <v>1</v>
      </c>
      <c r="AF73" s="81">
        <v>1</v>
      </c>
      <c r="AG73" s="81">
        <v>1</v>
      </c>
      <c r="AH73" s="49">
        <v>0</v>
      </c>
      <c r="AI73" s="50">
        <v>0</v>
      </c>
      <c r="AJ73" s="49">
        <v>2</v>
      </c>
      <c r="AK73" s="110">
        <v>9.523809523809524</v>
      </c>
      <c r="AL73" s="49">
        <v>0</v>
      </c>
      <c r="AM73" s="50">
        <v>0</v>
      </c>
      <c r="AN73" s="49">
        <v>6</v>
      </c>
      <c r="AO73" s="110">
        <v>28.571428571428573</v>
      </c>
      <c r="AP73" s="49">
        <v>21</v>
      </c>
    </row>
    <row r="74" spans="1:42" ht="15">
      <c r="A74" s="66" t="s">
        <v>293</v>
      </c>
      <c r="B74" s="66" t="s">
        <v>372</v>
      </c>
      <c r="C74" s="67" t="s">
        <v>404</v>
      </c>
      <c r="D74" s="68">
        <v>3</v>
      </c>
      <c r="E74" s="69"/>
      <c r="F74" s="70">
        <v>40</v>
      </c>
      <c r="G74" s="67"/>
      <c r="H74" s="71"/>
      <c r="I74" s="72"/>
      <c r="J74" s="72"/>
      <c r="K74" s="35" t="s">
        <v>65</v>
      </c>
      <c r="L74" s="80">
        <v>74</v>
      </c>
      <c r="M74" s="80"/>
      <c r="N74" s="74"/>
      <c r="O74" s="82" t="s">
        <v>406</v>
      </c>
      <c r="P74" s="82" t="s">
        <v>197</v>
      </c>
      <c r="Q74" s="82" t="s">
        <v>468</v>
      </c>
      <c r="R74" s="82" t="s">
        <v>293</v>
      </c>
      <c r="S74" s="82" t="s">
        <v>610</v>
      </c>
      <c r="T74" s="84" t="str">
        <f>HYPERLINK("http://www.youtube.com/channel/UCNTrgkXCcj7CQJlehJqBgCQ")</f>
        <v>http://www.youtube.com/channel/UCNTrgkXCcj7CQJlehJqBgCQ</v>
      </c>
      <c r="U74" s="82"/>
      <c r="V74" s="82" t="s">
        <v>705</v>
      </c>
      <c r="W74" s="84" t="str">
        <f>HYPERLINK("https://www.youtube.com/watch?v=OnEGLhO0ZkA")</f>
        <v>https://www.youtube.com/watch?v=OnEGLhO0ZkA</v>
      </c>
      <c r="X74" s="82" t="s">
        <v>735</v>
      </c>
      <c r="Y74" s="82">
        <v>1</v>
      </c>
      <c r="Z74" s="86">
        <v>43743.9533912037</v>
      </c>
      <c r="AA74" s="86">
        <v>43743.9533912037</v>
      </c>
      <c r="AB74" s="82"/>
      <c r="AC74" s="82"/>
      <c r="AD74" s="82"/>
      <c r="AE74" s="82">
        <v>1</v>
      </c>
      <c r="AF74" s="81">
        <v>1</v>
      </c>
      <c r="AG74" s="81">
        <v>1</v>
      </c>
      <c r="AH74" s="49">
        <v>4</v>
      </c>
      <c r="AI74" s="50">
        <v>40</v>
      </c>
      <c r="AJ74" s="49">
        <v>0</v>
      </c>
      <c r="AK74" s="50">
        <v>0</v>
      </c>
      <c r="AL74" s="49">
        <v>0</v>
      </c>
      <c r="AM74" s="50">
        <v>0</v>
      </c>
      <c r="AN74" s="49">
        <v>2</v>
      </c>
      <c r="AO74" s="50">
        <v>20</v>
      </c>
      <c r="AP74" s="49">
        <v>10</v>
      </c>
    </row>
    <row r="75" spans="1:42" ht="15">
      <c r="A75" s="66" t="s">
        <v>294</v>
      </c>
      <c r="B75" s="66" t="s">
        <v>372</v>
      </c>
      <c r="C75" s="67" t="s">
        <v>404</v>
      </c>
      <c r="D75" s="68">
        <v>3</v>
      </c>
      <c r="E75" s="69"/>
      <c r="F75" s="70">
        <v>40</v>
      </c>
      <c r="G75" s="67"/>
      <c r="H75" s="71"/>
      <c r="I75" s="72"/>
      <c r="J75" s="72"/>
      <c r="K75" s="35" t="s">
        <v>65</v>
      </c>
      <c r="L75" s="80">
        <v>75</v>
      </c>
      <c r="M75" s="80"/>
      <c r="N75" s="74"/>
      <c r="O75" s="82" t="s">
        <v>406</v>
      </c>
      <c r="P75" s="82" t="s">
        <v>197</v>
      </c>
      <c r="Q75" s="82" t="s">
        <v>469</v>
      </c>
      <c r="R75" s="82" t="s">
        <v>294</v>
      </c>
      <c r="S75" s="82" t="s">
        <v>611</v>
      </c>
      <c r="T75" s="84" t="str">
        <f>HYPERLINK("http://www.youtube.com/channel/UCLAlhhCrES_TuopULN19-yQ")</f>
        <v>http://www.youtube.com/channel/UCLAlhhCrES_TuopULN19-yQ</v>
      </c>
      <c r="U75" s="82"/>
      <c r="V75" s="82" t="s">
        <v>705</v>
      </c>
      <c r="W75" s="84" t="str">
        <f>HYPERLINK("https://www.youtube.com/watch?v=OnEGLhO0ZkA")</f>
        <v>https://www.youtube.com/watch?v=OnEGLhO0ZkA</v>
      </c>
      <c r="X75" s="82" t="s">
        <v>735</v>
      </c>
      <c r="Y75" s="82">
        <v>1</v>
      </c>
      <c r="Z75" s="86">
        <v>43743.95912037037</v>
      </c>
      <c r="AA75" s="86">
        <v>43743.95912037037</v>
      </c>
      <c r="AB75" s="82"/>
      <c r="AC75" s="82"/>
      <c r="AD75" s="82"/>
      <c r="AE75" s="82">
        <v>1</v>
      </c>
      <c r="AF75" s="81">
        <v>1</v>
      </c>
      <c r="AG75" s="81">
        <v>1</v>
      </c>
      <c r="AH75" s="49">
        <v>3</v>
      </c>
      <c r="AI75" s="110">
        <v>27.272727272727273</v>
      </c>
      <c r="AJ75" s="49">
        <v>0</v>
      </c>
      <c r="AK75" s="50">
        <v>0</v>
      </c>
      <c r="AL75" s="49">
        <v>0</v>
      </c>
      <c r="AM75" s="50">
        <v>0</v>
      </c>
      <c r="AN75" s="49">
        <v>2</v>
      </c>
      <c r="AO75" s="110">
        <v>18.181818181818183</v>
      </c>
      <c r="AP75" s="49">
        <v>11</v>
      </c>
    </row>
    <row r="76" spans="1:42" ht="15">
      <c r="A76" s="66" t="s">
        <v>295</v>
      </c>
      <c r="B76" s="66" t="s">
        <v>372</v>
      </c>
      <c r="C76" s="67" t="s">
        <v>404</v>
      </c>
      <c r="D76" s="68">
        <v>3</v>
      </c>
      <c r="E76" s="69"/>
      <c r="F76" s="70">
        <v>40</v>
      </c>
      <c r="G76" s="67"/>
      <c r="H76" s="71"/>
      <c r="I76" s="72"/>
      <c r="J76" s="72"/>
      <c r="K76" s="35" t="s">
        <v>65</v>
      </c>
      <c r="L76" s="80">
        <v>76</v>
      </c>
      <c r="M76" s="80"/>
      <c r="N76" s="74"/>
      <c r="O76" s="82" t="s">
        <v>406</v>
      </c>
      <c r="P76" s="82" t="s">
        <v>197</v>
      </c>
      <c r="Q76" s="82" t="s">
        <v>470</v>
      </c>
      <c r="R76" s="82" t="s">
        <v>295</v>
      </c>
      <c r="S76" s="82" t="s">
        <v>612</v>
      </c>
      <c r="T76" s="84" t="str">
        <f>HYPERLINK("http://www.youtube.com/channel/UCXa4DFnMX6Brmh3mAqvjUOQ")</f>
        <v>http://www.youtube.com/channel/UCXa4DFnMX6Brmh3mAqvjUOQ</v>
      </c>
      <c r="U76" s="82"/>
      <c r="V76" s="82" t="s">
        <v>705</v>
      </c>
      <c r="W76" s="84" t="str">
        <f>HYPERLINK("https://www.youtube.com/watch?v=OnEGLhO0ZkA")</f>
        <v>https://www.youtube.com/watch?v=OnEGLhO0ZkA</v>
      </c>
      <c r="X76" s="82" t="s">
        <v>735</v>
      </c>
      <c r="Y76" s="82">
        <v>0</v>
      </c>
      <c r="Z76" s="86">
        <v>43743.960127314815</v>
      </c>
      <c r="AA76" s="86">
        <v>43743.960127314815</v>
      </c>
      <c r="AB76" s="82"/>
      <c r="AC76" s="82"/>
      <c r="AD76" s="82"/>
      <c r="AE76" s="82">
        <v>1</v>
      </c>
      <c r="AF76" s="81">
        <v>1</v>
      </c>
      <c r="AG76" s="81">
        <v>1</v>
      </c>
      <c r="AH76" s="49">
        <v>1</v>
      </c>
      <c r="AI76" s="50">
        <v>12.5</v>
      </c>
      <c r="AJ76" s="49">
        <v>0</v>
      </c>
      <c r="AK76" s="50">
        <v>0</v>
      </c>
      <c r="AL76" s="49">
        <v>0</v>
      </c>
      <c r="AM76" s="50">
        <v>0</v>
      </c>
      <c r="AN76" s="49">
        <v>1</v>
      </c>
      <c r="AO76" s="50">
        <v>12.5</v>
      </c>
      <c r="AP76" s="49">
        <v>8</v>
      </c>
    </row>
    <row r="77" spans="1:42" ht="15">
      <c r="A77" s="66" t="s">
        <v>296</v>
      </c>
      <c r="B77" s="66" t="s">
        <v>372</v>
      </c>
      <c r="C77" s="67" t="s">
        <v>404</v>
      </c>
      <c r="D77" s="68">
        <v>3</v>
      </c>
      <c r="E77" s="69"/>
      <c r="F77" s="70">
        <v>40</v>
      </c>
      <c r="G77" s="67"/>
      <c r="H77" s="71"/>
      <c r="I77" s="72"/>
      <c r="J77" s="72"/>
      <c r="K77" s="35" t="s">
        <v>65</v>
      </c>
      <c r="L77" s="80">
        <v>77</v>
      </c>
      <c r="M77" s="80"/>
      <c r="N77" s="74"/>
      <c r="O77" s="82" t="s">
        <v>406</v>
      </c>
      <c r="P77" s="82" t="s">
        <v>197</v>
      </c>
      <c r="Q77" s="82" t="s">
        <v>471</v>
      </c>
      <c r="R77" s="82" t="s">
        <v>296</v>
      </c>
      <c r="S77" s="82" t="s">
        <v>613</v>
      </c>
      <c r="T77" s="84" t="str">
        <f>HYPERLINK("http://www.youtube.com/channel/UCS-EWpwAltfMYa927MkQPTw")</f>
        <v>http://www.youtube.com/channel/UCS-EWpwAltfMYa927MkQPTw</v>
      </c>
      <c r="U77" s="82"/>
      <c r="V77" s="82" t="s">
        <v>705</v>
      </c>
      <c r="W77" s="84" t="str">
        <f>HYPERLINK("https://www.youtube.com/watch?v=OnEGLhO0ZkA")</f>
        <v>https://www.youtube.com/watch?v=OnEGLhO0ZkA</v>
      </c>
      <c r="X77" s="82" t="s">
        <v>735</v>
      </c>
      <c r="Y77" s="82">
        <v>0</v>
      </c>
      <c r="Z77" s="86">
        <v>43743.96539351852</v>
      </c>
      <c r="AA77" s="86">
        <v>43743.96539351852</v>
      </c>
      <c r="AB77" s="82"/>
      <c r="AC77" s="82"/>
      <c r="AD77" s="82"/>
      <c r="AE77" s="82">
        <v>1</v>
      </c>
      <c r="AF77" s="81">
        <v>1</v>
      </c>
      <c r="AG77" s="81">
        <v>1</v>
      </c>
      <c r="AH77" s="49">
        <v>0</v>
      </c>
      <c r="AI77" s="50">
        <v>0</v>
      </c>
      <c r="AJ77" s="49">
        <v>0</v>
      </c>
      <c r="AK77" s="50">
        <v>0</v>
      </c>
      <c r="AL77" s="49">
        <v>0</v>
      </c>
      <c r="AM77" s="50">
        <v>0</v>
      </c>
      <c r="AN77" s="49">
        <v>7</v>
      </c>
      <c r="AO77" s="110">
        <v>53.84615384615385</v>
      </c>
      <c r="AP77" s="49">
        <v>13</v>
      </c>
    </row>
    <row r="78" spans="1:42" ht="15">
      <c r="A78" s="66" t="s">
        <v>297</v>
      </c>
      <c r="B78" s="66" t="s">
        <v>372</v>
      </c>
      <c r="C78" s="67" t="s">
        <v>404</v>
      </c>
      <c r="D78" s="68">
        <v>3</v>
      </c>
      <c r="E78" s="69"/>
      <c r="F78" s="70">
        <v>40</v>
      </c>
      <c r="G78" s="67"/>
      <c r="H78" s="71"/>
      <c r="I78" s="72"/>
      <c r="J78" s="72"/>
      <c r="K78" s="35" t="s">
        <v>65</v>
      </c>
      <c r="L78" s="80">
        <v>78</v>
      </c>
      <c r="M78" s="80"/>
      <c r="N78" s="74"/>
      <c r="O78" s="82" t="s">
        <v>406</v>
      </c>
      <c r="P78" s="82" t="s">
        <v>197</v>
      </c>
      <c r="Q78" s="82" t="s">
        <v>472</v>
      </c>
      <c r="R78" s="82" t="s">
        <v>297</v>
      </c>
      <c r="S78" s="82" t="s">
        <v>614</v>
      </c>
      <c r="T78" s="84" t="str">
        <f>HYPERLINK("http://www.youtube.com/channel/UCU2bqZXef_k6nvgCQJs4r2A")</f>
        <v>http://www.youtube.com/channel/UCU2bqZXef_k6nvgCQJs4r2A</v>
      </c>
      <c r="U78" s="82"/>
      <c r="V78" s="82" t="s">
        <v>705</v>
      </c>
      <c r="W78" s="84" t="str">
        <f>HYPERLINK("https://www.youtube.com/watch?v=OnEGLhO0ZkA")</f>
        <v>https://www.youtube.com/watch?v=OnEGLhO0ZkA</v>
      </c>
      <c r="X78" s="82" t="s">
        <v>735</v>
      </c>
      <c r="Y78" s="82">
        <v>0</v>
      </c>
      <c r="Z78" s="86">
        <v>43743.96807870371</v>
      </c>
      <c r="AA78" s="86">
        <v>43743.96807870371</v>
      </c>
      <c r="AB78" s="82"/>
      <c r="AC78" s="82"/>
      <c r="AD78" s="82"/>
      <c r="AE78" s="82">
        <v>1</v>
      </c>
      <c r="AF78" s="81">
        <v>1</v>
      </c>
      <c r="AG78" s="81">
        <v>1</v>
      </c>
      <c r="AH78" s="49">
        <v>1</v>
      </c>
      <c r="AI78" s="110">
        <v>33.333333333333336</v>
      </c>
      <c r="AJ78" s="49">
        <v>0</v>
      </c>
      <c r="AK78" s="50">
        <v>0</v>
      </c>
      <c r="AL78" s="49">
        <v>0</v>
      </c>
      <c r="AM78" s="50">
        <v>0</v>
      </c>
      <c r="AN78" s="49">
        <v>2</v>
      </c>
      <c r="AO78" s="110">
        <v>66.66666666666667</v>
      </c>
      <c r="AP78" s="49">
        <v>3</v>
      </c>
    </row>
    <row r="79" spans="1:42" ht="15">
      <c r="A79" s="66" t="s">
        <v>298</v>
      </c>
      <c r="B79" s="66" t="s">
        <v>372</v>
      </c>
      <c r="C79" s="67" t="s">
        <v>404</v>
      </c>
      <c r="D79" s="68">
        <v>3</v>
      </c>
      <c r="E79" s="69"/>
      <c r="F79" s="70">
        <v>40</v>
      </c>
      <c r="G79" s="67"/>
      <c r="H79" s="71"/>
      <c r="I79" s="72"/>
      <c r="J79" s="72"/>
      <c r="K79" s="35" t="s">
        <v>65</v>
      </c>
      <c r="L79" s="80">
        <v>79</v>
      </c>
      <c r="M79" s="80"/>
      <c r="N79" s="74"/>
      <c r="O79" s="82" t="s">
        <v>406</v>
      </c>
      <c r="P79" s="82" t="s">
        <v>197</v>
      </c>
      <c r="Q79" s="82" t="s">
        <v>473</v>
      </c>
      <c r="R79" s="82" t="s">
        <v>298</v>
      </c>
      <c r="S79" s="82" t="s">
        <v>615</v>
      </c>
      <c r="T79" s="84" t="str">
        <f>HYPERLINK("http://www.youtube.com/channel/UCDWWvVklzjZAbCF-uvJbn5Q")</f>
        <v>http://www.youtube.com/channel/UCDWWvVklzjZAbCF-uvJbn5Q</v>
      </c>
      <c r="U79" s="82"/>
      <c r="V79" s="82" t="s">
        <v>705</v>
      </c>
      <c r="W79" s="84" t="str">
        <f>HYPERLINK("https://www.youtube.com/watch?v=OnEGLhO0ZkA")</f>
        <v>https://www.youtube.com/watch?v=OnEGLhO0ZkA</v>
      </c>
      <c r="X79" s="82" t="s">
        <v>735</v>
      </c>
      <c r="Y79" s="82">
        <v>1</v>
      </c>
      <c r="Z79" s="86">
        <v>43743.98228009259</v>
      </c>
      <c r="AA79" s="86">
        <v>43743.98228009259</v>
      </c>
      <c r="AB79" s="82"/>
      <c r="AC79" s="82"/>
      <c r="AD79" s="82"/>
      <c r="AE79" s="82">
        <v>1</v>
      </c>
      <c r="AF79" s="81">
        <v>1</v>
      </c>
      <c r="AG79" s="81">
        <v>1</v>
      </c>
      <c r="AH79" s="49">
        <v>1</v>
      </c>
      <c r="AI79" s="50">
        <v>10</v>
      </c>
      <c r="AJ79" s="49">
        <v>0</v>
      </c>
      <c r="AK79" s="50">
        <v>0</v>
      </c>
      <c r="AL79" s="49">
        <v>0</v>
      </c>
      <c r="AM79" s="50">
        <v>0</v>
      </c>
      <c r="AN79" s="49">
        <v>4</v>
      </c>
      <c r="AO79" s="50">
        <v>40</v>
      </c>
      <c r="AP79" s="49">
        <v>10</v>
      </c>
    </row>
    <row r="80" spans="1:42" ht="15">
      <c r="A80" s="66" t="s">
        <v>299</v>
      </c>
      <c r="B80" s="66" t="s">
        <v>372</v>
      </c>
      <c r="C80" s="67" t="s">
        <v>404</v>
      </c>
      <c r="D80" s="68">
        <v>3</v>
      </c>
      <c r="E80" s="69"/>
      <c r="F80" s="70">
        <v>40</v>
      </c>
      <c r="G80" s="67"/>
      <c r="H80" s="71"/>
      <c r="I80" s="72"/>
      <c r="J80" s="72"/>
      <c r="K80" s="35" t="s">
        <v>65</v>
      </c>
      <c r="L80" s="80">
        <v>80</v>
      </c>
      <c r="M80" s="80"/>
      <c r="N80" s="74"/>
      <c r="O80" s="82" t="s">
        <v>406</v>
      </c>
      <c r="P80" s="82" t="s">
        <v>197</v>
      </c>
      <c r="Q80" s="82" t="s">
        <v>474</v>
      </c>
      <c r="R80" s="82" t="s">
        <v>299</v>
      </c>
      <c r="S80" s="82" t="s">
        <v>616</v>
      </c>
      <c r="T80" s="84" t="str">
        <f>HYPERLINK("http://www.youtube.com/channel/UCnvEQ72X4zUvfykkduU-zEg")</f>
        <v>http://www.youtube.com/channel/UCnvEQ72X4zUvfykkduU-zEg</v>
      </c>
      <c r="U80" s="82"/>
      <c r="V80" s="82" t="s">
        <v>705</v>
      </c>
      <c r="W80" s="84" t="str">
        <f>HYPERLINK("https://www.youtube.com/watch?v=OnEGLhO0ZkA")</f>
        <v>https://www.youtube.com/watch?v=OnEGLhO0ZkA</v>
      </c>
      <c r="X80" s="82" t="s">
        <v>735</v>
      </c>
      <c r="Y80" s="82">
        <v>0</v>
      </c>
      <c r="Z80" s="86">
        <v>43743.99005787037</v>
      </c>
      <c r="AA80" s="86">
        <v>43743.99005787037</v>
      </c>
      <c r="AB80" s="82"/>
      <c r="AC80" s="82"/>
      <c r="AD80" s="82"/>
      <c r="AE80" s="82">
        <v>1</v>
      </c>
      <c r="AF80" s="81">
        <v>1</v>
      </c>
      <c r="AG80" s="81">
        <v>1</v>
      </c>
      <c r="AH80" s="49">
        <v>0</v>
      </c>
      <c r="AI80" s="50">
        <v>0</v>
      </c>
      <c r="AJ80" s="49">
        <v>0</v>
      </c>
      <c r="AK80" s="50">
        <v>0</v>
      </c>
      <c r="AL80" s="49">
        <v>0</v>
      </c>
      <c r="AM80" s="50">
        <v>0</v>
      </c>
      <c r="AN80" s="49">
        <v>4</v>
      </c>
      <c r="AO80" s="110">
        <v>36.36363636363637</v>
      </c>
      <c r="AP80" s="49">
        <v>11</v>
      </c>
    </row>
    <row r="81" spans="1:42" ht="15">
      <c r="A81" s="66" t="s">
        <v>300</v>
      </c>
      <c r="B81" s="66" t="s">
        <v>372</v>
      </c>
      <c r="C81" s="67" t="s">
        <v>404</v>
      </c>
      <c r="D81" s="68">
        <v>3</v>
      </c>
      <c r="E81" s="69"/>
      <c r="F81" s="70">
        <v>40</v>
      </c>
      <c r="G81" s="67"/>
      <c r="H81" s="71"/>
      <c r="I81" s="72"/>
      <c r="J81" s="72"/>
      <c r="K81" s="35" t="s">
        <v>65</v>
      </c>
      <c r="L81" s="80">
        <v>81</v>
      </c>
      <c r="M81" s="80"/>
      <c r="N81" s="74"/>
      <c r="O81" s="82" t="s">
        <v>406</v>
      </c>
      <c r="P81" s="82" t="s">
        <v>197</v>
      </c>
      <c r="Q81" s="82" t="s">
        <v>475</v>
      </c>
      <c r="R81" s="82" t="s">
        <v>300</v>
      </c>
      <c r="S81" s="82" t="s">
        <v>617</v>
      </c>
      <c r="T81" s="84" t="str">
        <f>HYPERLINK("http://www.youtube.com/channel/UCb5yAzMlnPA0R3MZdUo90qw")</f>
        <v>http://www.youtube.com/channel/UCb5yAzMlnPA0R3MZdUo90qw</v>
      </c>
      <c r="U81" s="82"/>
      <c r="V81" s="82" t="s">
        <v>705</v>
      </c>
      <c r="W81" s="84" t="str">
        <f>HYPERLINK("https://www.youtube.com/watch?v=OnEGLhO0ZkA")</f>
        <v>https://www.youtube.com/watch?v=OnEGLhO0ZkA</v>
      </c>
      <c r="X81" s="82" t="s">
        <v>735</v>
      </c>
      <c r="Y81" s="82">
        <v>1</v>
      </c>
      <c r="Z81" s="86">
        <v>43743.99077546296</v>
      </c>
      <c r="AA81" s="86">
        <v>43743.99077546296</v>
      </c>
      <c r="AB81" s="82"/>
      <c r="AC81" s="82"/>
      <c r="AD81" s="82"/>
      <c r="AE81" s="82">
        <v>1</v>
      </c>
      <c r="AF81" s="81">
        <v>1</v>
      </c>
      <c r="AG81" s="81">
        <v>1</v>
      </c>
      <c r="AH81" s="49">
        <v>3</v>
      </c>
      <c r="AI81" s="50">
        <v>20</v>
      </c>
      <c r="AJ81" s="49">
        <v>0</v>
      </c>
      <c r="AK81" s="50">
        <v>0</v>
      </c>
      <c r="AL81" s="49">
        <v>0</v>
      </c>
      <c r="AM81" s="50">
        <v>0</v>
      </c>
      <c r="AN81" s="49">
        <v>2</v>
      </c>
      <c r="AO81" s="110">
        <v>13.333333333333334</v>
      </c>
      <c r="AP81" s="49">
        <v>15</v>
      </c>
    </row>
    <row r="82" spans="1:42" ht="15">
      <c r="A82" s="66" t="s">
        <v>301</v>
      </c>
      <c r="B82" s="66" t="s">
        <v>372</v>
      </c>
      <c r="C82" s="67" t="s">
        <v>404</v>
      </c>
      <c r="D82" s="68">
        <v>3</v>
      </c>
      <c r="E82" s="69"/>
      <c r="F82" s="70">
        <v>40</v>
      </c>
      <c r="G82" s="67"/>
      <c r="H82" s="71"/>
      <c r="I82" s="72"/>
      <c r="J82" s="72"/>
      <c r="K82" s="35" t="s">
        <v>65</v>
      </c>
      <c r="L82" s="80">
        <v>82</v>
      </c>
      <c r="M82" s="80"/>
      <c r="N82" s="74"/>
      <c r="O82" s="82" t="s">
        <v>406</v>
      </c>
      <c r="P82" s="82" t="s">
        <v>197</v>
      </c>
      <c r="Q82" s="82" t="s">
        <v>476</v>
      </c>
      <c r="R82" s="82" t="s">
        <v>301</v>
      </c>
      <c r="S82" s="82" t="s">
        <v>618</v>
      </c>
      <c r="T82" s="84" t="str">
        <f>HYPERLINK("http://www.youtube.com/channel/UCZtW_bJ0fIcVfxb4h4HbVrg")</f>
        <v>http://www.youtube.com/channel/UCZtW_bJ0fIcVfxb4h4HbVrg</v>
      </c>
      <c r="U82" s="82"/>
      <c r="V82" s="82" t="s">
        <v>705</v>
      </c>
      <c r="W82" s="84" t="str">
        <f>HYPERLINK("https://www.youtube.com/watch?v=OnEGLhO0ZkA")</f>
        <v>https://www.youtube.com/watch?v=OnEGLhO0ZkA</v>
      </c>
      <c r="X82" s="82" t="s">
        <v>735</v>
      </c>
      <c r="Y82" s="82">
        <v>1</v>
      </c>
      <c r="Z82" s="86">
        <v>43743.99465277778</v>
      </c>
      <c r="AA82" s="86">
        <v>43743.99465277778</v>
      </c>
      <c r="AB82" s="82"/>
      <c r="AC82" s="82"/>
      <c r="AD82" s="82"/>
      <c r="AE82" s="82">
        <v>1</v>
      </c>
      <c r="AF82" s="81">
        <v>1</v>
      </c>
      <c r="AG82" s="81">
        <v>1</v>
      </c>
      <c r="AH82" s="49">
        <v>0</v>
      </c>
      <c r="AI82" s="50">
        <v>0</v>
      </c>
      <c r="AJ82" s="49">
        <v>0</v>
      </c>
      <c r="AK82" s="50">
        <v>0</v>
      </c>
      <c r="AL82" s="49">
        <v>0</v>
      </c>
      <c r="AM82" s="50">
        <v>0</v>
      </c>
      <c r="AN82" s="49">
        <v>1</v>
      </c>
      <c r="AO82" s="110">
        <v>33.333333333333336</v>
      </c>
      <c r="AP82" s="49">
        <v>3</v>
      </c>
    </row>
    <row r="83" spans="1:42" ht="15">
      <c r="A83" s="66" t="s">
        <v>302</v>
      </c>
      <c r="B83" s="66" t="s">
        <v>372</v>
      </c>
      <c r="C83" s="67" t="s">
        <v>404</v>
      </c>
      <c r="D83" s="68">
        <v>3</v>
      </c>
      <c r="E83" s="69"/>
      <c r="F83" s="70">
        <v>40</v>
      </c>
      <c r="G83" s="67"/>
      <c r="H83" s="71"/>
      <c r="I83" s="72"/>
      <c r="J83" s="72"/>
      <c r="K83" s="35" t="s">
        <v>65</v>
      </c>
      <c r="L83" s="80">
        <v>83</v>
      </c>
      <c r="M83" s="80"/>
      <c r="N83" s="74"/>
      <c r="O83" s="82" t="s">
        <v>406</v>
      </c>
      <c r="P83" s="82" t="s">
        <v>197</v>
      </c>
      <c r="Q83" s="82" t="s">
        <v>477</v>
      </c>
      <c r="R83" s="82" t="s">
        <v>302</v>
      </c>
      <c r="S83" s="82" t="s">
        <v>619</v>
      </c>
      <c r="T83" s="84" t="str">
        <f>HYPERLINK("http://www.youtube.com/channel/UCk1zLD771AWUPA6SieoPK-Q")</f>
        <v>http://www.youtube.com/channel/UCk1zLD771AWUPA6SieoPK-Q</v>
      </c>
      <c r="U83" s="82"/>
      <c r="V83" s="82" t="s">
        <v>705</v>
      </c>
      <c r="W83" s="84" t="str">
        <f>HYPERLINK("https://www.youtube.com/watch?v=OnEGLhO0ZkA")</f>
        <v>https://www.youtube.com/watch?v=OnEGLhO0ZkA</v>
      </c>
      <c r="X83" s="82" t="s">
        <v>735</v>
      </c>
      <c r="Y83" s="82">
        <v>0</v>
      </c>
      <c r="Z83" s="86">
        <v>43743.997199074074</v>
      </c>
      <c r="AA83" s="86">
        <v>43743.997199074074</v>
      </c>
      <c r="AB83" s="82"/>
      <c r="AC83" s="82"/>
      <c r="AD83" s="82"/>
      <c r="AE83" s="82">
        <v>1</v>
      </c>
      <c r="AF83" s="81">
        <v>1</v>
      </c>
      <c r="AG83" s="81">
        <v>1</v>
      </c>
      <c r="AH83" s="49">
        <v>1</v>
      </c>
      <c r="AI83" s="110">
        <v>33.333333333333336</v>
      </c>
      <c r="AJ83" s="49">
        <v>0</v>
      </c>
      <c r="AK83" s="50">
        <v>0</v>
      </c>
      <c r="AL83" s="49">
        <v>0</v>
      </c>
      <c r="AM83" s="50">
        <v>0</v>
      </c>
      <c r="AN83" s="49">
        <v>1</v>
      </c>
      <c r="AO83" s="110">
        <v>33.333333333333336</v>
      </c>
      <c r="AP83" s="49">
        <v>3</v>
      </c>
    </row>
    <row r="84" spans="1:42" ht="15">
      <c r="A84" s="66" t="s">
        <v>303</v>
      </c>
      <c r="B84" s="66" t="s">
        <v>372</v>
      </c>
      <c r="C84" s="67" t="s">
        <v>404</v>
      </c>
      <c r="D84" s="68">
        <v>3</v>
      </c>
      <c r="E84" s="69"/>
      <c r="F84" s="70">
        <v>40</v>
      </c>
      <c r="G84" s="67"/>
      <c r="H84" s="71"/>
      <c r="I84" s="72"/>
      <c r="J84" s="72"/>
      <c r="K84" s="35" t="s">
        <v>65</v>
      </c>
      <c r="L84" s="80">
        <v>84</v>
      </c>
      <c r="M84" s="80"/>
      <c r="N84" s="74"/>
      <c r="O84" s="82" t="s">
        <v>406</v>
      </c>
      <c r="P84" s="82" t="s">
        <v>197</v>
      </c>
      <c r="Q84" s="82" t="s">
        <v>478</v>
      </c>
      <c r="R84" s="82" t="s">
        <v>303</v>
      </c>
      <c r="S84" s="82" t="s">
        <v>620</v>
      </c>
      <c r="T84" s="84" t="str">
        <f>HYPERLINK("http://www.youtube.com/channel/UCqNqnSJ9_Aa1qTwzuVCv_Ng")</f>
        <v>http://www.youtube.com/channel/UCqNqnSJ9_Aa1qTwzuVCv_Ng</v>
      </c>
      <c r="U84" s="82"/>
      <c r="V84" s="82" t="s">
        <v>705</v>
      </c>
      <c r="W84" s="84" t="str">
        <f>HYPERLINK("https://www.youtube.com/watch?v=OnEGLhO0ZkA")</f>
        <v>https://www.youtube.com/watch?v=OnEGLhO0ZkA</v>
      </c>
      <c r="X84" s="82" t="s">
        <v>735</v>
      </c>
      <c r="Y84" s="82">
        <v>0</v>
      </c>
      <c r="Z84" s="86">
        <v>43744.00466435185</v>
      </c>
      <c r="AA84" s="86">
        <v>43744.00466435185</v>
      </c>
      <c r="AB84" s="82"/>
      <c r="AC84" s="82"/>
      <c r="AD84" s="82"/>
      <c r="AE84" s="82">
        <v>1</v>
      </c>
      <c r="AF84" s="81">
        <v>1</v>
      </c>
      <c r="AG84" s="81">
        <v>1</v>
      </c>
      <c r="AH84" s="49">
        <v>0</v>
      </c>
      <c r="AI84" s="50">
        <v>0</v>
      </c>
      <c r="AJ84" s="49">
        <v>0</v>
      </c>
      <c r="AK84" s="50">
        <v>0</v>
      </c>
      <c r="AL84" s="49">
        <v>0</v>
      </c>
      <c r="AM84" s="50">
        <v>0</v>
      </c>
      <c r="AN84" s="49">
        <v>1</v>
      </c>
      <c r="AO84" s="50">
        <v>20</v>
      </c>
      <c r="AP84" s="49">
        <v>5</v>
      </c>
    </row>
    <row r="85" spans="1:42" ht="15">
      <c r="A85" s="66" t="s">
        <v>304</v>
      </c>
      <c r="B85" s="66" t="s">
        <v>372</v>
      </c>
      <c r="C85" s="67" t="s">
        <v>404</v>
      </c>
      <c r="D85" s="68">
        <v>3</v>
      </c>
      <c r="E85" s="69"/>
      <c r="F85" s="70">
        <v>40</v>
      </c>
      <c r="G85" s="67"/>
      <c r="H85" s="71"/>
      <c r="I85" s="72"/>
      <c r="J85" s="72"/>
      <c r="K85" s="35" t="s">
        <v>65</v>
      </c>
      <c r="L85" s="80">
        <v>85</v>
      </c>
      <c r="M85" s="80"/>
      <c r="N85" s="74"/>
      <c r="O85" s="82" t="s">
        <v>406</v>
      </c>
      <c r="P85" s="82" t="s">
        <v>197</v>
      </c>
      <c r="Q85" s="82" t="s">
        <v>479</v>
      </c>
      <c r="R85" s="82" t="s">
        <v>304</v>
      </c>
      <c r="S85" s="82" t="s">
        <v>621</v>
      </c>
      <c r="T85" s="84" t="str">
        <f>HYPERLINK("http://www.youtube.com/channel/UC2TypNPSjOzKxTFc82N7BCw")</f>
        <v>http://www.youtube.com/channel/UC2TypNPSjOzKxTFc82N7BCw</v>
      </c>
      <c r="U85" s="82"/>
      <c r="V85" s="82" t="s">
        <v>705</v>
      </c>
      <c r="W85" s="84" t="str">
        <f>HYPERLINK("https://www.youtube.com/watch?v=OnEGLhO0ZkA")</f>
        <v>https://www.youtube.com/watch?v=OnEGLhO0ZkA</v>
      </c>
      <c r="X85" s="82" t="s">
        <v>735</v>
      </c>
      <c r="Y85" s="82">
        <v>0</v>
      </c>
      <c r="Z85" s="86">
        <v>43744.01136574074</v>
      </c>
      <c r="AA85" s="86">
        <v>43744.01136574074</v>
      </c>
      <c r="AB85" s="82"/>
      <c r="AC85" s="82"/>
      <c r="AD85" s="82"/>
      <c r="AE85" s="82">
        <v>1</v>
      </c>
      <c r="AF85" s="81">
        <v>1</v>
      </c>
      <c r="AG85" s="81">
        <v>1</v>
      </c>
      <c r="AH85" s="49">
        <v>1</v>
      </c>
      <c r="AI85" s="110">
        <v>16.666666666666668</v>
      </c>
      <c r="AJ85" s="49">
        <v>0</v>
      </c>
      <c r="AK85" s="50">
        <v>0</v>
      </c>
      <c r="AL85" s="49">
        <v>0</v>
      </c>
      <c r="AM85" s="50">
        <v>0</v>
      </c>
      <c r="AN85" s="49">
        <v>2</v>
      </c>
      <c r="AO85" s="110">
        <v>33.333333333333336</v>
      </c>
      <c r="AP85" s="49">
        <v>6</v>
      </c>
    </row>
    <row r="86" spans="1:42" ht="15">
      <c r="A86" s="66" t="s">
        <v>305</v>
      </c>
      <c r="B86" s="66" t="s">
        <v>372</v>
      </c>
      <c r="C86" s="67" t="s">
        <v>404</v>
      </c>
      <c r="D86" s="68">
        <v>3</v>
      </c>
      <c r="E86" s="69"/>
      <c r="F86" s="70">
        <v>40</v>
      </c>
      <c r="G86" s="67"/>
      <c r="H86" s="71"/>
      <c r="I86" s="72"/>
      <c r="J86" s="72"/>
      <c r="K86" s="35" t="s">
        <v>65</v>
      </c>
      <c r="L86" s="80">
        <v>86</v>
      </c>
      <c r="M86" s="80"/>
      <c r="N86" s="74"/>
      <c r="O86" s="82" t="s">
        <v>406</v>
      </c>
      <c r="P86" s="82" t="s">
        <v>197</v>
      </c>
      <c r="Q86" s="82" t="s">
        <v>480</v>
      </c>
      <c r="R86" s="82" t="s">
        <v>305</v>
      </c>
      <c r="S86" s="82" t="s">
        <v>622</v>
      </c>
      <c r="T86" s="84" t="str">
        <f>HYPERLINK("http://www.youtube.com/channel/UCTeW3jGTyEtRefG0sMeY0vw")</f>
        <v>http://www.youtube.com/channel/UCTeW3jGTyEtRefG0sMeY0vw</v>
      </c>
      <c r="U86" s="82"/>
      <c r="V86" s="82" t="s">
        <v>705</v>
      </c>
      <c r="W86" s="84" t="str">
        <f>HYPERLINK("https://www.youtube.com/watch?v=OnEGLhO0ZkA")</f>
        <v>https://www.youtube.com/watch?v=OnEGLhO0ZkA</v>
      </c>
      <c r="X86" s="82" t="s">
        <v>735</v>
      </c>
      <c r="Y86" s="82">
        <v>7</v>
      </c>
      <c r="Z86" s="86">
        <v>43744.01476851852</v>
      </c>
      <c r="AA86" s="86">
        <v>43744.01678240741</v>
      </c>
      <c r="AB86" s="82"/>
      <c r="AC86" s="82"/>
      <c r="AD86" s="82"/>
      <c r="AE86" s="82">
        <v>1</v>
      </c>
      <c r="AF86" s="81">
        <v>1</v>
      </c>
      <c r="AG86" s="81">
        <v>1</v>
      </c>
      <c r="AH86" s="49">
        <v>2</v>
      </c>
      <c r="AI86" s="50">
        <v>10</v>
      </c>
      <c r="AJ86" s="49">
        <v>0</v>
      </c>
      <c r="AK86" s="50">
        <v>0</v>
      </c>
      <c r="AL86" s="49">
        <v>0</v>
      </c>
      <c r="AM86" s="50">
        <v>0</v>
      </c>
      <c r="AN86" s="49">
        <v>12</v>
      </c>
      <c r="AO86" s="50">
        <v>60</v>
      </c>
      <c r="AP86" s="49">
        <v>20</v>
      </c>
    </row>
    <row r="87" spans="1:42" ht="15">
      <c r="A87" s="66" t="s">
        <v>306</v>
      </c>
      <c r="B87" s="66" t="s">
        <v>372</v>
      </c>
      <c r="C87" s="67" t="s">
        <v>404</v>
      </c>
      <c r="D87" s="68">
        <v>3</v>
      </c>
      <c r="E87" s="69"/>
      <c r="F87" s="70">
        <v>40</v>
      </c>
      <c r="G87" s="67"/>
      <c r="H87" s="71"/>
      <c r="I87" s="72"/>
      <c r="J87" s="72"/>
      <c r="K87" s="35" t="s">
        <v>65</v>
      </c>
      <c r="L87" s="80">
        <v>87</v>
      </c>
      <c r="M87" s="80"/>
      <c r="N87" s="74"/>
      <c r="O87" s="82" t="s">
        <v>406</v>
      </c>
      <c r="P87" s="82" t="s">
        <v>197</v>
      </c>
      <c r="Q87" s="82" t="s">
        <v>481</v>
      </c>
      <c r="R87" s="82" t="s">
        <v>306</v>
      </c>
      <c r="S87" s="82" t="s">
        <v>623</v>
      </c>
      <c r="T87" s="84" t="str">
        <f>HYPERLINK("http://www.youtube.com/channel/UCyryTouSFjIUOJpuYXjkOgg")</f>
        <v>http://www.youtube.com/channel/UCyryTouSFjIUOJpuYXjkOgg</v>
      </c>
      <c r="U87" s="82"/>
      <c r="V87" s="82" t="s">
        <v>705</v>
      </c>
      <c r="W87" s="84" t="str">
        <f>HYPERLINK("https://www.youtube.com/watch?v=OnEGLhO0ZkA")</f>
        <v>https://www.youtube.com/watch?v=OnEGLhO0ZkA</v>
      </c>
      <c r="X87" s="82" t="s">
        <v>735</v>
      </c>
      <c r="Y87" s="82">
        <v>0</v>
      </c>
      <c r="Z87" s="86">
        <v>43744.02378472222</v>
      </c>
      <c r="AA87" s="86">
        <v>43744.02378472222</v>
      </c>
      <c r="AB87" s="82"/>
      <c r="AC87" s="82"/>
      <c r="AD87" s="82"/>
      <c r="AE87" s="82">
        <v>1</v>
      </c>
      <c r="AF87" s="81">
        <v>1</v>
      </c>
      <c r="AG87" s="81">
        <v>1</v>
      </c>
      <c r="AH87" s="49">
        <v>1</v>
      </c>
      <c r="AI87" s="50">
        <v>50</v>
      </c>
      <c r="AJ87" s="49">
        <v>0</v>
      </c>
      <c r="AK87" s="50">
        <v>0</v>
      </c>
      <c r="AL87" s="49">
        <v>0</v>
      </c>
      <c r="AM87" s="50">
        <v>0</v>
      </c>
      <c r="AN87" s="49">
        <v>1</v>
      </c>
      <c r="AO87" s="50">
        <v>50</v>
      </c>
      <c r="AP87" s="49">
        <v>2</v>
      </c>
    </row>
    <row r="88" spans="1:42" ht="15">
      <c r="A88" s="66" t="s">
        <v>307</v>
      </c>
      <c r="B88" s="66" t="s">
        <v>372</v>
      </c>
      <c r="C88" s="67" t="s">
        <v>404</v>
      </c>
      <c r="D88" s="68">
        <v>3</v>
      </c>
      <c r="E88" s="69"/>
      <c r="F88" s="70">
        <v>40</v>
      </c>
      <c r="G88" s="67"/>
      <c r="H88" s="71"/>
      <c r="I88" s="72"/>
      <c r="J88" s="72"/>
      <c r="K88" s="35" t="s">
        <v>65</v>
      </c>
      <c r="L88" s="80">
        <v>88</v>
      </c>
      <c r="M88" s="80"/>
      <c r="N88" s="74"/>
      <c r="O88" s="82" t="s">
        <v>406</v>
      </c>
      <c r="P88" s="82" t="s">
        <v>197</v>
      </c>
      <c r="Q88" s="82" t="s">
        <v>482</v>
      </c>
      <c r="R88" s="82" t="s">
        <v>307</v>
      </c>
      <c r="S88" s="82" t="s">
        <v>624</v>
      </c>
      <c r="T88" s="84" t="str">
        <f>HYPERLINK("http://www.youtube.com/channel/UC2vqaGFPXK5rtxmUgayj9Cg")</f>
        <v>http://www.youtube.com/channel/UC2vqaGFPXK5rtxmUgayj9Cg</v>
      </c>
      <c r="U88" s="82"/>
      <c r="V88" s="82" t="s">
        <v>705</v>
      </c>
      <c r="W88" s="84" t="str">
        <f>HYPERLINK("https://www.youtube.com/watch?v=OnEGLhO0ZkA")</f>
        <v>https://www.youtube.com/watch?v=OnEGLhO0ZkA</v>
      </c>
      <c r="X88" s="82" t="s">
        <v>735</v>
      </c>
      <c r="Y88" s="82">
        <v>0</v>
      </c>
      <c r="Z88" s="86">
        <v>43744.02505787037</v>
      </c>
      <c r="AA88" s="86">
        <v>43744.02505787037</v>
      </c>
      <c r="AB88" s="82"/>
      <c r="AC88" s="82"/>
      <c r="AD88" s="82"/>
      <c r="AE88" s="82">
        <v>1</v>
      </c>
      <c r="AF88" s="81">
        <v>1</v>
      </c>
      <c r="AG88" s="81">
        <v>1</v>
      </c>
      <c r="AH88" s="49">
        <v>1</v>
      </c>
      <c r="AI88" s="50">
        <v>6.25</v>
      </c>
      <c r="AJ88" s="49">
        <v>0</v>
      </c>
      <c r="AK88" s="50">
        <v>0</v>
      </c>
      <c r="AL88" s="49">
        <v>0</v>
      </c>
      <c r="AM88" s="50">
        <v>0</v>
      </c>
      <c r="AN88" s="49">
        <v>12</v>
      </c>
      <c r="AO88" s="50">
        <v>75</v>
      </c>
      <c r="AP88" s="49">
        <v>16</v>
      </c>
    </row>
    <row r="89" spans="1:42" ht="15">
      <c r="A89" s="66" t="s">
        <v>308</v>
      </c>
      <c r="B89" s="66" t="s">
        <v>372</v>
      </c>
      <c r="C89" s="67" t="s">
        <v>404</v>
      </c>
      <c r="D89" s="68">
        <v>3</v>
      </c>
      <c r="E89" s="69"/>
      <c r="F89" s="70">
        <v>40</v>
      </c>
      <c r="G89" s="67"/>
      <c r="H89" s="71"/>
      <c r="I89" s="72"/>
      <c r="J89" s="72"/>
      <c r="K89" s="35" t="s">
        <v>65</v>
      </c>
      <c r="L89" s="80">
        <v>89</v>
      </c>
      <c r="M89" s="80"/>
      <c r="N89" s="74"/>
      <c r="O89" s="82" t="s">
        <v>406</v>
      </c>
      <c r="P89" s="82" t="s">
        <v>197</v>
      </c>
      <c r="Q89" s="82" t="s">
        <v>483</v>
      </c>
      <c r="R89" s="82" t="s">
        <v>308</v>
      </c>
      <c r="S89" s="82" t="s">
        <v>625</v>
      </c>
      <c r="T89" s="84" t="str">
        <f>HYPERLINK("http://www.youtube.com/channel/UCv5TeVZtogFh83_Fji72NIQ")</f>
        <v>http://www.youtube.com/channel/UCv5TeVZtogFh83_Fji72NIQ</v>
      </c>
      <c r="U89" s="82"/>
      <c r="V89" s="82" t="s">
        <v>705</v>
      </c>
      <c r="W89" s="84" t="str">
        <f>HYPERLINK("https://www.youtube.com/watch?v=OnEGLhO0ZkA")</f>
        <v>https://www.youtube.com/watch?v=OnEGLhO0ZkA</v>
      </c>
      <c r="X89" s="82" t="s">
        <v>735</v>
      </c>
      <c r="Y89" s="82">
        <v>3</v>
      </c>
      <c r="Z89" s="86">
        <v>43744.03394675926</v>
      </c>
      <c r="AA89" s="86">
        <v>43744.03394675926</v>
      </c>
      <c r="AB89" s="82"/>
      <c r="AC89" s="82"/>
      <c r="AD89" s="82"/>
      <c r="AE89" s="82">
        <v>1</v>
      </c>
      <c r="AF89" s="81">
        <v>1</v>
      </c>
      <c r="AG89" s="81">
        <v>1</v>
      </c>
      <c r="AH89" s="49">
        <v>1</v>
      </c>
      <c r="AI89" s="50">
        <v>5</v>
      </c>
      <c r="AJ89" s="49">
        <v>0</v>
      </c>
      <c r="AK89" s="50">
        <v>0</v>
      </c>
      <c r="AL89" s="49">
        <v>0</v>
      </c>
      <c r="AM89" s="50">
        <v>0</v>
      </c>
      <c r="AN89" s="49">
        <v>6</v>
      </c>
      <c r="AO89" s="50">
        <v>30</v>
      </c>
      <c r="AP89" s="49">
        <v>20</v>
      </c>
    </row>
    <row r="90" spans="1:42" ht="15">
      <c r="A90" s="66" t="s">
        <v>309</v>
      </c>
      <c r="B90" s="66" t="s">
        <v>372</v>
      </c>
      <c r="C90" s="67" t="s">
        <v>404</v>
      </c>
      <c r="D90" s="68">
        <v>3</v>
      </c>
      <c r="E90" s="69"/>
      <c r="F90" s="70">
        <v>40</v>
      </c>
      <c r="G90" s="67"/>
      <c r="H90" s="71"/>
      <c r="I90" s="72"/>
      <c r="J90" s="72"/>
      <c r="K90" s="35" t="s">
        <v>65</v>
      </c>
      <c r="L90" s="80">
        <v>90</v>
      </c>
      <c r="M90" s="80"/>
      <c r="N90" s="74"/>
      <c r="O90" s="82" t="s">
        <v>406</v>
      </c>
      <c r="P90" s="82" t="s">
        <v>197</v>
      </c>
      <c r="Q90" s="82" t="s">
        <v>484</v>
      </c>
      <c r="R90" s="82" t="s">
        <v>309</v>
      </c>
      <c r="S90" s="82" t="s">
        <v>626</v>
      </c>
      <c r="T90" s="84" t="str">
        <f>HYPERLINK("http://www.youtube.com/channel/UCM-2xp_NNRkBBMxfmIR0ygA")</f>
        <v>http://www.youtube.com/channel/UCM-2xp_NNRkBBMxfmIR0ygA</v>
      </c>
      <c r="U90" s="82"/>
      <c r="V90" s="82" t="s">
        <v>705</v>
      </c>
      <c r="W90" s="84" t="str">
        <f>HYPERLINK("https://www.youtube.com/watch?v=OnEGLhO0ZkA")</f>
        <v>https://www.youtube.com/watch?v=OnEGLhO0ZkA</v>
      </c>
      <c r="X90" s="82" t="s">
        <v>735</v>
      </c>
      <c r="Y90" s="82">
        <v>0</v>
      </c>
      <c r="Z90" s="86">
        <v>43744.06265046296</v>
      </c>
      <c r="AA90" s="86">
        <v>43744.06265046296</v>
      </c>
      <c r="AB90" s="82"/>
      <c r="AC90" s="82"/>
      <c r="AD90" s="82"/>
      <c r="AE90" s="82">
        <v>1</v>
      </c>
      <c r="AF90" s="81">
        <v>1</v>
      </c>
      <c r="AG90" s="81">
        <v>1</v>
      </c>
      <c r="AH90" s="49">
        <v>1</v>
      </c>
      <c r="AI90" s="110">
        <v>9.090909090909092</v>
      </c>
      <c r="AJ90" s="49">
        <v>0</v>
      </c>
      <c r="AK90" s="50">
        <v>0</v>
      </c>
      <c r="AL90" s="49">
        <v>0</v>
      </c>
      <c r="AM90" s="50">
        <v>0</v>
      </c>
      <c r="AN90" s="49">
        <v>6</v>
      </c>
      <c r="AO90" s="110">
        <v>54.54545454545455</v>
      </c>
      <c r="AP90" s="49">
        <v>11</v>
      </c>
    </row>
    <row r="91" spans="1:42" ht="15">
      <c r="A91" s="66" t="s">
        <v>310</v>
      </c>
      <c r="B91" s="66" t="s">
        <v>372</v>
      </c>
      <c r="C91" s="67" t="s">
        <v>404</v>
      </c>
      <c r="D91" s="68">
        <v>3</v>
      </c>
      <c r="E91" s="69"/>
      <c r="F91" s="70">
        <v>40</v>
      </c>
      <c r="G91" s="67"/>
      <c r="H91" s="71"/>
      <c r="I91" s="72"/>
      <c r="J91" s="72"/>
      <c r="K91" s="35" t="s">
        <v>65</v>
      </c>
      <c r="L91" s="80">
        <v>91</v>
      </c>
      <c r="M91" s="80"/>
      <c r="N91" s="74"/>
      <c r="O91" s="82" t="s">
        <v>406</v>
      </c>
      <c r="P91" s="82" t="s">
        <v>197</v>
      </c>
      <c r="Q91" s="82" t="s">
        <v>485</v>
      </c>
      <c r="R91" s="82" t="s">
        <v>310</v>
      </c>
      <c r="S91" s="82" t="s">
        <v>627</v>
      </c>
      <c r="T91" s="84" t="str">
        <f>HYPERLINK("http://www.youtube.com/channel/UCDJblvjBQLEgvuBerVeXghg")</f>
        <v>http://www.youtube.com/channel/UCDJblvjBQLEgvuBerVeXghg</v>
      </c>
      <c r="U91" s="82"/>
      <c r="V91" s="82" t="s">
        <v>705</v>
      </c>
      <c r="W91" s="84" t="str">
        <f>HYPERLINK("https://www.youtube.com/watch?v=OnEGLhO0ZkA")</f>
        <v>https://www.youtube.com/watch?v=OnEGLhO0ZkA</v>
      </c>
      <c r="X91" s="82" t="s">
        <v>735</v>
      </c>
      <c r="Y91" s="82">
        <v>17</v>
      </c>
      <c r="Z91" s="86">
        <v>43744.06922453704</v>
      </c>
      <c r="AA91" s="86">
        <v>43744.06922453704</v>
      </c>
      <c r="AB91" s="82"/>
      <c r="AC91" s="82"/>
      <c r="AD91" s="82"/>
      <c r="AE91" s="82">
        <v>1</v>
      </c>
      <c r="AF91" s="81">
        <v>1</v>
      </c>
      <c r="AG91" s="81">
        <v>1</v>
      </c>
      <c r="AH91" s="49">
        <v>4</v>
      </c>
      <c r="AI91" s="110">
        <v>5.194805194805195</v>
      </c>
      <c r="AJ91" s="49">
        <v>3</v>
      </c>
      <c r="AK91" s="110">
        <v>3.896103896103896</v>
      </c>
      <c r="AL91" s="49">
        <v>0</v>
      </c>
      <c r="AM91" s="50">
        <v>0</v>
      </c>
      <c r="AN91" s="49">
        <v>28</v>
      </c>
      <c r="AO91" s="110">
        <v>36.36363636363637</v>
      </c>
      <c r="AP91" s="49">
        <v>77</v>
      </c>
    </row>
    <row r="92" spans="1:42" ht="15">
      <c r="A92" s="66" t="s">
        <v>311</v>
      </c>
      <c r="B92" s="66" t="s">
        <v>372</v>
      </c>
      <c r="C92" s="67" t="s">
        <v>404</v>
      </c>
      <c r="D92" s="68">
        <v>3</v>
      </c>
      <c r="E92" s="69"/>
      <c r="F92" s="70">
        <v>40</v>
      </c>
      <c r="G92" s="67"/>
      <c r="H92" s="71"/>
      <c r="I92" s="72"/>
      <c r="J92" s="72"/>
      <c r="K92" s="35" t="s">
        <v>65</v>
      </c>
      <c r="L92" s="80">
        <v>92</v>
      </c>
      <c r="M92" s="80"/>
      <c r="N92" s="74"/>
      <c r="O92" s="82" t="s">
        <v>406</v>
      </c>
      <c r="P92" s="82" t="s">
        <v>197</v>
      </c>
      <c r="Q92" s="82" t="s">
        <v>486</v>
      </c>
      <c r="R92" s="82" t="s">
        <v>311</v>
      </c>
      <c r="S92" s="82" t="s">
        <v>628</v>
      </c>
      <c r="T92" s="84" t="str">
        <f>HYPERLINK("http://www.youtube.com/channel/UCeu0i04HgzQh0IN2dYfnG6w")</f>
        <v>http://www.youtube.com/channel/UCeu0i04HgzQh0IN2dYfnG6w</v>
      </c>
      <c r="U92" s="82"/>
      <c r="V92" s="82" t="s">
        <v>705</v>
      </c>
      <c r="W92" s="84" t="str">
        <f>HYPERLINK("https://www.youtube.com/watch?v=OnEGLhO0ZkA")</f>
        <v>https://www.youtube.com/watch?v=OnEGLhO0ZkA</v>
      </c>
      <c r="X92" s="82" t="s">
        <v>735</v>
      </c>
      <c r="Y92" s="82">
        <v>0</v>
      </c>
      <c r="Z92" s="86">
        <v>43744.07755787037</v>
      </c>
      <c r="AA92" s="86">
        <v>43744.07755787037</v>
      </c>
      <c r="AB92" s="82"/>
      <c r="AC92" s="82"/>
      <c r="AD92" s="82"/>
      <c r="AE92" s="82">
        <v>1</v>
      </c>
      <c r="AF92" s="81">
        <v>1</v>
      </c>
      <c r="AG92" s="81">
        <v>1</v>
      </c>
      <c r="AH92" s="49">
        <v>1</v>
      </c>
      <c r="AI92" s="110">
        <v>33.333333333333336</v>
      </c>
      <c r="AJ92" s="49">
        <v>0</v>
      </c>
      <c r="AK92" s="50">
        <v>0</v>
      </c>
      <c r="AL92" s="49">
        <v>0</v>
      </c>
      <c r="AM92" s="50">
        <v>0</v>
      </c>
      <c r="AN92" s="49">
        <v>2</v>
      </c>
      <c r="AO92" s="110">
        <v>66.66666666666667</v>
      </c>
      <c r="AP92" s="49">
        <v>3</v>
      </c>
    </row>
    <row r="93" spans="1:42" ht="15">
      <c r="A93" s="66" t="s">
        <v>312</v>
      </c>
      <c r="B93" s="66" t="s">
        <v>372</v>
      </c>
      <c r="C93" s="67" t="s">
        <v>404</v>
      </c>
      <c r="D93" s="68">
        <v>3</v>
      </c>
      <c r="E93" s="69"/>
      <c r="F93" s="70">
        <v>40</v>
      </c>
      <c r="G93" s="67"/>
      <c r="H93" s="71"/>
      <c r="I93" s="72"/>
      <c r="J93" s="72"/>
      <c r="K93" s="35" t="s">
        <v>65</v>
      </c>
      <c r="L93" s="80">
        <v>93</v>
      </c>
      <c r="M93" s="80"/>
      <c r="N93" s="74"/>
      <c r="O93" s="82" t="s">
        <v>406</v>
      </c>
      <c r="P93" s="82" t="s">
        <v>197</v>
      </c>
      <c r="Q93" s="82" t="s">
        <v>487</v>
      </c>
      <c r="R93" s="82" t="s">
        <v>312</v>
      </c>
      <c r="S93" s="82" t="s">
        <v>629</v>
      </c>
      <c r="T93" s="84" t="str">
        <f>HYPERLINK("http://www.youtube.com/channel/UCfAOHkpWLhMhsskxTvgujUQ")</f>
        <v>http://www.youtube.com/channel/UCfAOHkpWLhMhsskxTvgujUQ</v>
      </c>
      <c r="U93" s="82"/>
      <c r="V93" s="82" t="s">
        <v>705</v>
      </c>
      <c r="W93" s="84" t="str">
        <f>HYPERLINK("https://www.youtube.com/watch?v=OnEGLhO0ZkA")</f>
        <v>https://www.youtube.com/watch?v=OnEGLhO0ZkA</v>
      </c>
      <c r="X93" s="82" t="s">
        <v>735</v>
      </c>
      <c r="Y93" s="82">
        <v>1</v>
      </c>
      <c r="Z93" s="86">
        <v>43744.11050925926</v>
      </c>
      <c r="AA93" s="86">
        <v>43744.11050925926</v>
      </c>
      <c r="AB93" s="82"/>
      <c r="AC93" s="82"/>
      <c r="AD93" s="82"/>
      <c r="AE93" s="82">
        <v>1</v>
      </c>
      <c r="AF93" s="81">
        <v>1</v>
      </c>
      <c r="AG93" s="81">
        <v>1</v>
      </c>
      <c r="AH93" s="49">
        <v>0</v>
      </c>
      <c r="AI93" s="50">
        <v>0</v>
      </c>
      <c r="AJ93" s="49">
        <v>0</v>
      </c>
      <c r="AK93" s="50">
        <v>0</v>
      </c>
      <c r="AL93" s="49">
        <v>0</v>
      </c>
      <c r="AM93" s="50">
        <v>0</v>
      </c>
      <c r="AN93" s="49">
        <v>2</v>
      </c>
      <c r="AO93" s="110">
        <v>66.66666666666667</v>
      </c>
      <c r="AP93" s="49">
        <v>3</v>
      </c>
    </row>
    <row r="94" spans="1:42" ht="15">
      <c r="A94" s="66" t="s">
        <v>313</v>
      </c>
      <c r="B94" s="66" t="s">
        <v>372</v>
      </c>
      <c r="C94" s="67" t="s">
        <v>404</v>
      </c>
      <c r="D94" s="68">
        <v>3</v>
      </c>
      <c r="E94" s="69"/>
      <c r="F94" s="70">
        <v>40</v>
      </c>
      <c r="G94" s="67"/>
      <c r="H94" s="71"/>
      <c r="I94" s="72"/>
      <c r="J94" s="72"/>
      <c r="K94" s="35" t="s">
        <v>65</v>
      </c>
      <c r="L94" s="80">
        <v>94</v>
      </c>
      <c r="M94" s="80"/>
      <c r="N94" s="74"/>
      <c r="O94" s="82" t="s">
        <v>406</v>
      </c>
      <c r="P94" s="82" t="s">
        <v>197</v>
      </c>
      <c r="Q94" s="82" t="s">
        <v>488</v>
      </c>
      <c r="R94" s="82" t="s">
        <v>313</v>
      </c>
      <c r="S94" s="82" t="s">
        <v>630</v>
      </c>
      <c r="T94" s="84" t="str">
        <f>HYPERLINK("http://www.youtube.com/channel/UCrau40237Ed_blgZOlQkjpg")</f>
        <v>http://www.youtube.com/channel/UCrau40237Ed_blgZOlQkjpg</v>
      </c>
      <c r="U94" s="82"/>
      <c r="V94" s="82" t="s">
        <v>705</v>
      </c>
      <c r="W94" s="84" t="str">
        <f>HYPERLINK("https://www.youtube.com/watch?v=OnEGLhO0ZkA")</f>
        <v>https://www.youtube.com/watch?v=OnEGLhO0ZkA</v>
      </c>
      <c r="X94" s="82" t="s">
        <v>735</v>
      </c>
      <c r="Y94" s="82">
        <v>2</v>
      </c>
      <c r="Z94" s="86">
        <v>43744.11702546296</v>
      </c>
      <c r="AA94" s="86">
        <v>43744.11702546296</v>
      </c>
      <c r="AB94" s="82"/>
      <c r="AC94" s="82"/>
      <c r="AD94" s="82"/>
      <c r="AE94" s="82">
        <v>1</v>
      </c>
      <c r="AF94" s="81">
        <v>1</v>
      </c>
      <c r="AG94" s="81">
        <v>1</v>
      </c>
      <c r="AH94" s="49">
        <v>5</v>
      </c>
      <c r="AI94" s="110">
        <v>8.928571428571429</v>
      </c>
      <c r="AJ94" s="49">
        <v>0</v>
      </c>
      <c r="AK94" s="50">
        <v>0</v>
      </c>
      <c r="AL94" s="49">
        <v>0</v>
      </c>
      <c r="AM94" s="50">
        <v>0</v>
      </c>
      <c r="AN94" s="49">
        <v>16</v>
      </c>
      <c r="AO94" s="110">
        <v>28.571428571428573</v>
      </c>
      <c r="AP94" s="49">
        <v>56</v>
      </c>
    </row>
    <row r="95" spans="1:42" ht="15">
      <c r="A95" s="66" t="s">
        <v>314</v>
      </c>
      <c r="B95" s="66" t="s">
        <v>372</v>
      </c>
      <c r="C95" s="67" t="s">
        <v>404</v>
      </c>
      <c r="D95" s="68">
        <v>3</v>
      </c>
      <c r="E95" s="69"/>
      <c r="F95" s="70">
        <v>40</v>
      </c>
      <c r="G95" s="67"/>
      <c r="H95" s="71"/>
      <c r="I95" s="72"/>
      <c r="J95" s="72"/>
      <c r="K95" s="35" t="s">
        <v>65</v>
      </c>
      <c r="L95" s="80">
        <v>95</v>
      </c>
      <c r="M95" s="80"/>
      <c r="N95" s="74"/>
      <c r="O95" s="82" t="s">
        <v>406</v>
      </c>
      <c r="P95" s="82" t="s">
        <v>197</v>
      </c>
      <c r="Q95" s="82" t="s">
        <v>489</v>
      </c>
      <c r="R95" s="82" t="s">
        <v>314</v>
      </c>
      <c r="S95" s="82" t="s">
        <v>631</v>
      </c>
      <c r="T95" s="84" t="str">
        <f>HYPERLINK("http://www.youtube.com/channel/UCHZtSCW3ghRV7JG_hl-DnMQ")</f>
        <v>http://www.youtube.com/channel/UCHZtSCW3ghRV7JG_hl-DnMQ</v>
      </c>
      <c r="U95" s="82"/>
      <c r="V95" s="82" t="s">
        <v>705</v>
      </c>
      <c r="W95" s="84" t="str">
        <f>HYPERLINK("https://www.youtube.com/watch?v=OnEGLhO0ZkA")</f>
        <v>https://www.youtube.com/watch?v=OnEGLhO0ZkA</v>
      </c>
      <c r="X95" s="82" t="s">
        <v>735</v>
      </c>
      <c r="Y95" s="82">
        <v>1</v>
      </c>
      <c r="Z95" s="86">
        <v>43744.11819444445</v>
      </c>
      <c r="AA95" s="86">
        <v>43744.11819444445</v>
      </c>
      <c r="AB95" s="82"/>
      <c r="AC95" s="82"/>
      <c r="AD95" s="82"/>
      <c r="AE95" s="82">
        <v>1</v>
      </c>
      <c r="AF95" s="81">
        <v>1</v>
      </c>
      <c r="AG95" s="81">
        <v>1</v>
      </c>
      <c r="AH95" s="49">
        <v>0</v>
      </c>
      <c r="AI95" s="50">
        <v>0</v>
      </c>
      <c r="AJ95" s="49">
        <v>2</v>
      </c>
      <c r="AK95" s="110">
        <v>6.451612903225806</v>
      </c>
      <c r="AL95" s="49">
        <v>0</v>
      </c>
      <c r="AM95" s="50">
        <v>0</v>
      </c>
      <c r="AN95" s="49">
        <v>8</v>
      </c>
      <c r="AO95" s="110">
        <v>25.806451612903224</v>
      </c>
      <c r="AP95" s="49">
        <v>31</v>
      </c>
    </row>
    <row r="96" spans="1:42" ht="15">
      <c r="A96" s="66" t="s">
        <v>315</v>
      </c>
      <c r="B96" s="66" t="s">
        <v>372</v>
      </c>
      <c r="C96" s="67" t="s">
        <v>404</v>
      </c>
      <c r="D96" s="68">
        <v>3</v>
      </c>
      <c r="E96" s="69"/>
      <c r="F96" s="70">
        <v>40</v>
      </c>
      <c r="G96" s="67"/>
      <c r="H96" s="71"/>
      <c r="I96" s="72"/>
      <c r="J96" s="72"/>
      <c r="K96" s="35" t="s">
        <v>65</v>
      </c>
      <c r="L96" s="80">
        <v>96</v>
      </c>
      <c r="M96" s="80"/>
      <c r="N96" s="74"/>
      <c r="O96" s="82" t="s">
        <v>406</v>
      </c>
      <c r="P96" s="82" t="s">
        <v>197</v>
      </c>
      <c r="Q96" s="82" t="s">
        <v>490</v>
      </c>
      <c r="R96" s="82" t="s">
        <v>315</v>
      </c>
      <c r="S96" s="82" t="s">
        <v>632</v>
      </c>
      <c r="T96" s="84" t="str">
        <f>HYPERLINK("http://www.youtube.com/channel/UCbuBW2iv0g8nZ0DTdxIlhFA")</f>
        <v>http://www.youtube.com/channel/UCbuBW2iv0g8nZ0DTdxIlhFA</v>
      </c>
      <c r="U96" s="82"/>
      <c r="V96" s="82" t="s">
        <v>705</v>
      </c>
      <c r="W96" s="84" t="str">
        <f>HYPERLINK("https://www.youtube.com/watch?v=OnEGLhO0ZkA")</f>
        <v>https://www.youtube.com/watch?v=OnEGLhO0ZkA</v>
      </c>
      <c r="X96" s="82" t="s">
        <v>735</v>
      </c>
      <c r="Y96" s="82">
        <v>0</v>
      </c>
      <c r="Z96" s="86">
        <v>43744.129375</v>
      </c>
      <c r="AA96" s="86">
        <v>43744.129375</v>
      </c>
      <c r="AB96" s="82"/>
      <c r="AC96" s="82"/>
      <c r="AD96" s="82"/>
      <c r="AE96" s="82">
        <v>1</v>
      </c>
      <c r="AF96" s="81">
        <v>1</v>
      </c>
      <c r="AG96" s="81">
        <v>1</v>
      </c>
      <c r="AH96" s="49">
        <v>1</v>
      </c>
      <c r="AI96" s="110">
        <v>14.285714285714286</v>
      </c>
      <c r="AJ96" s="49">
        <v>0</v>
      </c>
      <c r="AK96" s="50">
        <v>0</v>
      </c>
      <c r="AL96" s="49">
        <v>0</v>
      </c>
      <c r="AM96" s="50">
        <v>0</v>
      </c>
      <c r="AN96" s="49">
        <v>2</v>
      </c>
      <c r="AO96" s="110">
        <v>28.571428571428573</v>
      </c>
      <c r="AP96" s="49">
        <v>7</v>
      </c>
    </row>
    <row r="97" spans="1:42" ht="15">
      <c r="A97" s="66" t="s">
        <v>316</v>
      </c>
      <c r="B97" s="66" t="s">
        <v>372</v>
      </c>
      <c r="C97" s="67" t="s">
        <v>404</v>
      </c>
      <c r="D97" s="68">
        <v>3</v>
      </c>
      <c r="E97" s="69"/>
      <c r="F97" s="70">
        <v>40</v>
      </c>
      <c r="G97" s="67"/>
      <c r="H97" s="71"/>
      <c r="I97" s="72"/>
      <c r="J97" s="72"/>
      <c r="K97" s="35" t="s">
        <v>65</v>
      </c>
      <c r="L97" s="80">
        <v>97</v>
      </c>
      <c r="M97" s="80"/>
      <c r="N97" s="74"/>
      <c r="O97" s="82" t="s">
        <v>406</v>
      </c>
      <c r="P97" s="82" t="s">
        <v>197</v>
      </c>
      <c r="Q97" s="82" t="s">
        <v>491</v>
      </c>
      <c r="R97" s="82" t="s">
        <v>316</v>
      </c>
      <c r="S97" s="82" t="s">
        <v>633</v>
      </c>
      <c r="T97" s="84" t="str">
        <f>HYPERLINK("http://www.youtube.com/channel/UCY130g5fSy_oh0AxxbgKe4g")</f>
        <v>http://www.youtube.com/channel/UCY130g5fSy_oh0AxxbgKe4g</v>
      </c>
      <c r="U97" s="82"/>
      <c r="V97" s="82" t="s">
        <v>705</v>
      </c>
      <c r="W97" s="84" t="str">
        <f>HYPERLINK("https://www.youtube.com/watch?v=OnEGLhO0ZkA")</f>
        <v>https://www.youtube.com/watch?v=OnEGLhO0ZkA</v>
      </c>
      <c r="X97" s="82" t="s">
        <v>735</v>
      </c>
      <c r="Y97" s="82">
        <v>0</v>
      </c>
      <c r="Z97" s="86">
        <v>43744.1328587963</v>
      </c>
      <c r="AA97" s="86">
        <v>43744.1328587963</v>
      </c>
      <c r="AB97" s="82"/>
      <c r="AC97" s="82"/>
      <c r="AD97" s="82"/>
      <c r="AE97" s="82">
        <v>1</v>
      </c>
      <c r="AF97" s="81">
        <v>1</v>
      </c>
      <c r="AG97" s="81">
        <v>1</v>
      </c>
      <c r="AH97" s="49">
        <v>1</v>
      </c>
      <c r="AI97" s="110">
        <v>3.7037037037037037</v>
      </c>
      <c r="AJ97" s="49">
        <v>0</v>
      </c>
      <c r="AK97" s="50">
        <v>0</v>
      </c>
      <c r="AL97" s="49">
        <v>0</v>
      </c>
      <c r="AM97" s="50">
        <v>0</v>
      </c>
      <c r="AN97" s="49">
        <v>11</v>
      </c>
      <c r="AO97" s="110">
        <v>40.74074074074074</v>
      </c>
      <c r="AP97" s="49">
        <v>27</v>
      </c>
    </row>
    <row r="98" spans="1:42" ht="15">
      <c r="A98" s="66" t="s">
        <v>317</v>
      </c>
      <c r="B98" s="66" t="s">
        <v>372</v>
      </c>
      <c r="C98" s="67" t="s">
        <v>404</v>
      </c>
      <c r="D98" s="68">
        <v>3</v>
      </c>
      <c r="E98" s="69"/>
      <c r="F98" s="70">
        <v>40</v>
      </c>
      <c r="G98" s="67"/>
      <c r="H98" s="71"/>
      <c r="I98" s="72"/>
      <c r="J98" s="72"/>
      <c r="K98" s="35" t="s">
        <v>65</v>
      </c>
      <c r="L98" s="80">
        <v>98</v>
      </c>
      <c r="M98" s="80"/>
      <c r="N98" s="74"/>
      <c r="O98" s="82" t="s">
        <v>406</v>
      </c>
      <c r="P98" s="82" t="s">
        <v>197</v>
      </c>
      <c r="Q98" s="82" t="s">
        <v>492</v>
      </c>
      <c r="R98" s="82" t="s">
        <v>317</v>
      </c>
      <c r="S98" s="82" t="s">
        <v>634</v>
      </c>
      <c r="T98" s="84" t="str">
        <f>HYPERLINK("http://www.youtube.com/channel/UCfhJXlUiGqG-J4ERYY5cGTg")</f>
        <v>http://www.youtube.com/channel/UCfhJXlUiGqG-J4ERYY5cGTg</v>
      </c>
      <c r="U98" s="82"/>
      <c r="V98" s="82" t="s">
        <v>705</v>
      </c>
      <c r="W98" s="84" t="str">
        <f>HYPERLINK("https://www.youtube.com/watch?v=OnEGLhO0ZkA")</f>
        <v>https://www.youtube.com/watch?v=OnEGLhO0ZkA</v>
      </c>
      <c r="X98" s="82" t="s">
        <v>735</v>
      </c>
      <c r="Y98" s="82">
        <v>0</v>
      </c>
      <c r="Z98" s="86">
        <v>43744.13525462963</v>
      </c>
      <c r="AA98" s="86">
        <v>43744.13525462963</v>
      </c>
      <c r="AB98" s="82"/>
      <c r="AC98" s="82"/>
      <c r="AD98" s="82"/>
      <c r="AE98" s="82">
        <v>1</v>
      </c>
      <c r="AF98" s="81">
        <v>1</v>
      </c>
      <c r="AG98" s="81">
        <v>1</v>
      </c>
      <c r="AH98" s="49">
        <v>2</v>
      </c>
      <c r="AI98" s="110">
        <v>28.571428571428573</v>
      </c>
      <c r="AJ98" s="49">
        <v>0</v>
      </c>
      <c r="AK98" s="50">
        <v>0</v>
      </c>
      <c r="AL98" s="49">
        <v>0</v>
      </c>
      <c r="AM98" s="50">
        <v>0</v>
      </c>
      <c r="AN98" s="49">
        <v>4</v>
      </c>
      <c r="AO98" s="110">
        <v>57.142857142857146</v>
      </c>
      <c r="AP98" s="49">
        <v>7</v>
      </c>
    </row>
    <row r="99" spans="1:42" ht="15">
      <c r="A99" s="66" t="s">
        <v>318</v>
      </c>
      <c r="B99" s="66" t="s">
        <v>372</v>
      </c>
      <c r="C99" s="67" t="s">
        <v>404</v>
      </c>
      <c r="D99" s="68">
        <v>3</v>
      </c>
      <c r="E99" s="69"/>
      <c r="F99" s="70">
        <v>40</v>
      </c>
      <c r="G99" s="67"/>
      <c r="H99" s="71"/>
      <c r="I99" s="72"/>
      <c r="J99" s="72"/>
      <c r="K99" s="35" t="s">
        <v>65</v>
      </c>
      <c r="L99" s="80">
        <v>99</v>
      </c>
      <c r="M99" s="80"/>
      <c r="N99" s="74"/>
      <c r="O99" s="82" t="s">
        <v>406</v>
      </c>
      <c r="P99" s="82" t="s">
        <v>197</v>
      </c>
      <c r="Q99" s="82" t="s">
        <v>493</v>
      </c>
      <c r="R99" s="82" t="s">
        <v>318</v>
      </c>
      <c r="S99" s="82" t="s">
        <v>635</v>
      </c>
      <c r="T99" s="84" t="str">
        <f>HYPERLINK("http://www.youtube.com/channel/UCqOD5SDKQOk3gzU_qWyUPrw")</f>
        <v>http://www.youtube.com/channel/UCqOD5SDKQOk3gzU_qWyUPrw</v>
      </c>
      <c r="U99" s="82"/>
      <c r="V99" s="82" t="s">
        <v>705</v>
      </c>
      <c r="W99" s="84" t="str">
        <f>HYPERLINK("https://www.youtube.com/watch?v=OnEGLhO0ZkA")</f>
        <v>https://www.youtube.com/watch?v=OnEGLhO0ZkA</v>
      </c>
      <c r="X99" s="82" t="s">
        <v>735</v>
      </c>
      <c r="Y99" s="82">
        <v>0</v>
      </c>
      <c r="Z99" s="86">
        <v>43744.157476851855</v>
      </c>
      <c r="AA99" s="86">
        <v>43744.157476851855</v>
      </c>
      <c r="AB99" s="82"/>
      <c r="AC99" s="82"/>
      <c r="AD99" s="82"/>
      <c r="AE99" s="82">
        <v>1</v>
      </c>
      <c r="AF99" s="81">
        <v>1</v>
      </c>
      <c r="AG99" s="81">
        <v>1</v>
      </c>
      <c r="AH99" s="49">
        <v>1</v>
      </c>
      <c r="AI99" s="110">
        <v>16.666666666666668</v>
      </c>
      <c r="AJ99" s="49">
        <v>0</v>
      </c>
      <c r="AK99" s="50">
        <v>0</v>
      </c>
      <c r="AL99" s="49">
        <v>0</v>
      </c>
      <c r="AM99" s="50">
        <v>0</v>
      </c>
      <c r="AN99" s="49">
        <v>3</v>
      </c>
      <c r="AO99" s="50">
        <v>50</v>
      </c>
      <c r="AP99" s="49">
        <v>6</v>
      </c>
    </row>
    <row r="100" spans="1:42" ht="15">
      <c r="A100" s="66" t="s">
        <v>319</v>
      </c>
      <c r="B100" s="66" t="s">
        <v>372</v>
      </c>
      <c r="C100" s="67" t="s">
        <v>404</v>
      </c>
      <c r="D100" s="68">
        <v>3</v>
      </c>
      <c r="E100" s="69"/>
      <c r="F100" s="70">
        <v>40</v>
      </c>
      <c r="G100" s="67"/>
      <c r="H100" s="71"/>
      <c r="I100" s="72"/>
      <c r="J100" s="72"/>
      <c r="K100" s="35" t="s">
        <v>65</v>
      </c>
      <c r="L100" s="80">
        <v>100</v>
      </c>
      <c r="M100" s="80"/>
      <c r="N100" s="74"/>
      <c r="O100" s="82" t="s">
        <v>406</v>
      </c>
      <c r="P100" s="82" t="s">
        <v>197</v>
      </c>
      <c r="Q100" s="82" t="s">
        <v>494</v>
      </c>
      <c r="R100" s="82" t="s">
        <v>319</v>
      </c>
      <c r="S100" s="82" t="s">
        <v>636</v>
      </c>
      <c r="T100" s="84" t="str">
        <f>HYPERLINK("http://www.youtube.com/channel/UCU6GIAzpLLQFzWCCqI_8SCQ")</f>
        <v>http://www.youtube.com/channel/UCU6GIAzpLLQFzWCCqI_8SCQ</v>
      </c>
      <c r="U100" s="82"/>
      <c r="V100" s="82" t="s">
        <v>705</v>
      </c>
      <c r="W100" s="84" t="str">
        <f>HYPERLINK("https://www.youtube.com/watch?v=OnEGLhO0ZkA")</f>
        <v>https://www.youtube.com/watch?v=OnEGLhO0ZkA</v>
      </c>
      <c r="X100" s="82" t="s">
        <v>735</v>
      </c>
      <c r="Y100" s="82">
        <v>1</v>
      </c>
      <c r="Z100" s="86">
        <v>43744.16384259259</v>
      </c>
      <c r="AA100" s="86">
        <v>43744.16384259259</v>
      </c>
      <c r="AB100" s="82"/>
      <c r="AC100" s="82"/>
      <c r="AD100" s="82"/>
      <c r="AE100" s="82">
        <v>1</v>
      </c>
      <c r="AF100" s="81">
        <v>1</v>
      </c>
      <c r="AG100" s="81">
        <v>1</v>
      </c>
      <c r="AH100" s="49">
        <v>3</v>
      </c>
      <c r="AI100" s="50">
        <v>20</v>
      </c>
      <c r="AJ100" s="49">
        <v>0</v>
      </c>
      <c r="AK100" s="50">
        <v>0</v>
      </c>
      <c r="AL100" s="49">
        <v>0</v>
      </c>
      <c r="AM100" s="50">
        <v>0</v>
      </c>
      <c r="AN100" s="49">
        <v>3</v>
      </c>
      <c r="AO100" s="50">
        <v>20</v>
      </c>
      <c r="AP100" s="49">
        <v>15</v>
      </c>
    </row>
    <row r="101" spans="1:42" ht="15">
      <c r="A101" s="66" t="s">
        <v>320</v>
      </c>
      <c r="B101" s="66" t="s">
        <v>372</v>
      </c>
      <c r="C101" s="67" t="s">
        <v>404</v>
      </c>
      <c r="D101" s="68">
        <v>3</v>
      </c>
      <c r="E101" s="69"/>
      <c r="F101" s="70">
        <v>40</v>
      </c>
      <c r="G101" s="67"/>
      <c r="H101" s="71"/>
      <c r="I101" s="72"/>
      <c r="J101" s="72"/>
      <c r="K101" s="35" t="s">
        <v>65</v>
      </c>
      <c r="L101" s="80">
        <v>101</v>
      </c>
      <c r="M101" s="80"/>
      <c r="N101" s="74"/>
      <c r="O101" s="82" t="s">
        <v>406</v>
      </c>
      <c r="P101" s="82" t="s">
        <v>197</v>
      </c>
      <c r="Q101" s="82" t="s">
        <v>495</v>
      </c>
      <c r="R101" s="82" t="s">
        <v>320</v>
      </c>
      <c r="S101" s="82" t="s">
        <v>637</v>
      </c>
      <c r="T101" s="84" t="str">
        <f>HYPERLINK("http://www.youtube.com/channel/UCcW_9GEcSNRGLlnojavzWsQ")</f>
        <v>http://www.youtube.com/channel/UCcW_9GEcSNRGLlnojavzWsQ</v>
      </c>
      <c r="U101" s="82"/>
      <c r="V101" s="82" t="s">
        <v>705</v>
      </c>
      <c r="W101" s="84" t="str">
        <f>HYPERLINK("https://www.youtube.com/watch?v=OnEGLhO0ZkA")</f>
        <v>https://www.youtube.com/watch?v=OnEGLhO0ZkA</v>
      </c>
      <c r="X101" s="82" t="s">
        <v>735</v>
      </c>
      <c r="Y101" s="82">
        <v>0</v>
      </c>
      <c r="Z101" s="86">
        <v>43744.16521990741</v>
      </c>
      <c r="AA101" s="86">
        <v>43744.16521990741</v>
      </c>
      <c r="AB101" s="82"/>
      <c r="AC101" s="82"/>
      <c r="AD101" s="82"/>
      <c r="AE101" s="82">
        <v>1</v>
      </c>
      <c r="AF101" s="81">
        <v>1</v>
      </c>
      <c r="AG101" s="81">
        <v>1</v>
      </c>
      <c r="AH101" s="49">
        <v>4</v>
      </c>
      <c r="AI101" s="110">
        <v>14.285714285714286</v>
      </c>
      <c r="AJ101" s="49">
        <v>0</v>
      </c>
      <c r="AK101" s="50">
        <v>0</v>
      </c>
      <c r="AL101" s="49">
        <v>0</v>
      </c>
      <c r="AM101" s="50">
        <v>0</v>
      </c>
      <c r="AN101" s="49">
        <v>9</v>
      </c>
      <c r="AO101" s="110">
        <v>32.142857142857146</v>
      </c>
      <c r="AP101" s="49">
        <v>28</v>
      </c>
    </row>
    <row r="102" spans="1:42" ht="15">
      <c r="A102" s="66" t="s">
        <v>321</v>
      </c>
      <c r="B102" s="66" t="s">
        <v>372</v>
      </c>
      <c r="C102" s="67" t="s">
        <v>404</v>
      </c>
      <c r="D102" s="68">
        <v>3</v>
      </c>
      <c r="E102" s="69"/>
      <c r="F102" s="70">
        <v>40</v>
      </c>
      <c r="G102" s="67"/>
      <c r="H102" s="71"/>
      <c r="I102" s="72"/>
      <c r="J102" s="72"/>
      <c r="K102" s="35" t="s">
        <v>65</v>
      </c>
      <c r="L102" s="80">
        <v>102</v>
      </c>
      <c r="M102" s="80"/>
      <c r="N102" s="74"/>
      <c r="O102" s="82" t="s">
        <v>406</v>
      </c>
      <c r="P102" s="82" t="s">
        <v>197</v>
      </c>
      <c r="Q102" s="82" t="s">
        <v>496</v>
      </c>
      <c r="R102" s="82" t="s">
        <v>321</v>
      </c>
      <c r="S102" s="82" t="s">
        <v>638</v>
      </c>
      <c r="T102" s="84" t="str">
        <f>HYPERLINK("http://www.youtube.com/channel/UCEjyeDvIkZ9gvyLeHNZerUw")</f>
        <v>http://www.youtube.com/channel/UCEjyeDvIkZ9gvyLeHNZerUw</v>
      </c>
      <c r="U102" s="82"/>
      <c r="V102" s="82" t="s">
        <v>705</v>
      </c>
      <c r="W102" s="84" t="str">
        <f>HYPERLINK("https://www.youtube.com/watch?v=OnEGLhO0ZkA")</f>
        <v>https://www.youtube.com/watch?v=OnEGLhO0ZkA</v>
      </c>
      <c r="X102" s="82" t="s">
        <v>735</v>
      </c>
      <c r="Y102" s="82">
        <v>0</v>
      </c>
      <c r="Z102" s="86">
        <v>43744.17039351852</v>
      </c>
      <c r="AA102" s="86">
        <v>43744.17039351852</v>
      </c>
      <c r="AB102" s="82"/>
      <c r="AC102" s="82"/>
      <c r="AD102" s="82"/>
      <c r="AE102" s="82">
        <v>1</v>
      </c>
      <c r="AF102" s="81">
        <v>1</v>
      </c>
      <c r="AG102" s="81">
        <v>1</v>
      </c>
      <c r="AH102" s="49">
        <v>2</v>
      </c>
      <c r="AI102" s="110">
        <v>7.142857142857143</v>
      </c>
      <c r="AJ102" s="49">
        <v>0</v>
      </c>
      <c r="AK102" s="50">
        <v>0</v>
      </c>
      <c r="AL102" s="49">
        <v>0</v>
      </c>
      <c r="AM102" s="50">
        <v>0</v>
      </c>
      <c r="AN102" s="49">
        <v>5</v>
      </c>
      <c r="AO102" s="110">
        <v>17.857142857142858</v>
      </c>
      <c r="AP102" s="49">
        <v>28</v>
      </c>
    </row>
    <row r="103" spans="1:42" ht="15">
      <c r="A103" s="66" t="s">
        <v>322</v>
      </c>
      <c r="B103" s="66" t="s">
        <v>372</v>
      </c>
      <c r="C103" s="67" t="s">
        <v>404</v>
      </c>
      <c r="D103" s="68">
        <v>3</v>
      </c>
      <c r="E103" s="69"/>
      <c r="F103" s="70">
        <v>40</v>
      </c>
      <c r="G103" s="67"/>
      <c r="H103" s="71"/>
      <c r="I103" s="72"/>
      <c r="J103" s="72"/>
      <c r="K103" s="35" t="s">
        <v>65</v>
      </c>
      <c r="L103" s="80">
        <v>103</v>
      </c>
      <c r="M103" s="80"/>
      <c r="N103" s="74"/>
      <c r="O103" s="82" t="s">
        <v>406</v>
      </c>
      <c r="P103" s="82" t="s">
        <v>197</v>
      </c>
      <c r="Q103" s="82" t="s">
        <v>497</v>
      </c>
      <c r="R103" s="82" t="s">
        <v>322</v>
      </c>
      <c r="S103" s="82" t="s">
        <v>639</v>
      </c>
      <c r="T103" s="84" t="str">
        <f>HYPERLINK("http://www.youtube.com/channel/UC69FYPrUTpRIql2_AVhebwA")</f>
        <v>http://www.youtube.com/channel/UC69FYPrUTpRIql2_AVhebwA</v>
      </c>
      <c r="U103" s="82"/>
      <c r="V103" s="82" t="s">
        <v>705</v>
      </c>
      <c r="W103" s="84" t="str">
        <f>HYPERLINK("https://www.youtube.com/watch?v=OnEGLhO0ZkA")</f>
        <v>https://www.youtube.com/watch?v=OnEGLhO0ZkA</v>
      </c>
      <c r="X103" s="82" t="s">
        <v>735</v>
      </c>
      <c r="Y103" s="82">
        <v>0</v>
      </c>
      <c r="Z103" s="86">
        <v>43744.17475694444</v>
      </c>
      <c r="AA103" s="86">
        <v>43744.17475694444</v>
      </c>
      <c r="AB103" s="82"/>
      <c r="AC103" s="82"/>
      <c r="AD103" s="82"/>
      <c r="AE103" s="82">
        <v>1</v>
      </c>
      <c r="AF103" s="81">
        <v>1</v>
      </c>
      <c r="AG103" s="81">
        <v>1</v>
      </c>
      <c r="AH103" s="49">
        <v>2</v>
      </c>
      <c r="AI103" s="110">
        <v>4.651162790697675</v>
      </c>
      <c r="AJ103" s="49">
        <v>1</v>
      </c>
      <c r="AK103" s="110">
        <v>2.3255813953488373</v>
      </c>
      <c r="AL103" s="49">
        <v>0</v>
      </c>
      <c r="AM103" s="50">
        <v>0</v>
      </c>
      <c r="AN103" s="49">
        <v>13</v>
      </c>
      <c r="AO103" s="110">
        <v>30.232558139534884</v>
      </c>
      <c r="AP103" s="49">
        <v>43</v>
      </c>
    </row>
    <row r="104" spans="1:42" ht="15">
      <c r="A104" s="66" t="s">
        <v>323</v>
      </c>
      <c r="B104" s="66" t="s">
        <v>372</v>
      </c>
      <c r="C104" s="67" t="s">
        <v>404</v>
      </c>
      <c r="D104" s="68">
        <v>3</v>
      </c>
      <c r="E104" s="69"/>
      <c r="F104" s="70">
        <v>40</v>
      </c>
      <c r="G104" s="67"/>
      <c r="H104" s="71"/>
      <c r="I104" s="72"/>
      <c r="J104" s="72"/>
      <c r="K104" s="35" t="s">
        <v>65</v>
      </c>
      <c r="L104" s="80">
        <v>104</v>
      </c>
      <c r="M104" s="80"/>
      <c r="N104" s="74"/>
      <c r="O104" s="82" t="s">
        <v>406</v>
      </c>
      <c r="P104" s="82" t="s">
        <v>197</v>
      </c>
      <c r="Q104" s="82" t="s">
        <v>498</v>
      </c>
      <c r="R104" s="82" t="s">
        <v>323</v>
      </c>
      <c r="S104" s="82" t="s">
        <v>640</v>
      </c>
      <c r="T104" s="84" t="str">
        <f>HYPERLINK("http://www.youtube.com/channel/UCnD77H0YexgPR9VV0SN4izg")</f>
        <v>http://www.youtube.com/channel/UCnD77H0YexgPR9VV0SN4izg</v>
      </c>
      <c r="U104" s="82"/>
      <c r="V104" s="82" t="s">
        <v>705</v>
      </c>
      <c r="W104" s="84" t="str">
        <f>HYPERLINK("https://www.youtube.com/watch?v=OnEGLhO0ZkA")</f>
        <v>https://www.youtube.com/watch?v=OnEGLhO0ZkA</v>
      </c>
      <c r="X104" s="82" t="s">
        <v>735</v>
      </c>
      <c r="Y104" s="82">
        <v>2</v>
      </c>
      <c r="Z104" s="86">
        <v>43744.17475694444</v>
      </c>
      <c r="AA104" s="86">
        <v>43744.17475694444</v>
      </c>
      <c r="AB104" s="82"/>
      <c r="AC104" s="82"/>
      <c r="AD104" s="82"/>
      <c r="AE104" s="82">
        <v>1</v>
      </c>
      <c r="AF104" s="81">
        <v>1</v>
      </c>
      <c r="AG104" s="81">
        <v>1</v>
      </c>
      <c r="AH104" s="49">
        <v>2</v>
      </c>
      <c r="AI104" s="110">
        <v>7.407407407407407</v>
      </c>
      <c r="AJ104" s="49">
        <v>0</v>
      </c>
      <c r="AK104" s="50">
        <v>0</v>
      </c>
      <c r="AL104" s="49">
        <v>0</v>
      </c>
      <c r="AM104" s="50">
        <v>0</v>
      </c>
      <c r="AN104" s="49">
        <v>9</v>
      </c>
      <c r="AO104" s="110">
        <v>33.333333333333336</v>
      </c>
      <c r="AP104" s="49">
        <v>27</v>
      </c>
    </row>
    <row r="105" spans="1:42" ht="15">
      <c r="A105" s="66" t="s">
        <v>324</v>
      </c>
      <c r="B105" s="66" t="s">
        <v>372</v>
      </c>
      <c r="C105" s="67" t="s">
        <v>404</v>
      </c>
      <c r="D105" s="68">
        <v>3</v>
      </c>
      <c r="E105" s="69"/>
      <c r="F105" s="70">
        <v>40</v>
      </c>
      <c r="G105" s="67"/>
      <c r="H105" s="71"/>
      <c r="I105" s="72"/>
      <c r="J105" s="72"/>
      <c r="K105" s="35" t="s">
        <v>65</v>
      </c>
      <c r="L105" s="80">
        <v>105</v>
      </c>
      <c r="M105" s="80"/>
      <c r="N105" s="74"/>
      <c r="O105" s="82" t="s">
        <v>406</v>
      </c>
      <c r="P105" s="82" t="s">
        <v>197</v>
      </c>
      <c r="Q105" s="82" t="s">
        <v>499</v>
      </c>
      <c r="R105" s="82" t="s">
        <v>324</v>
      </c>
      <c r="S105" s="82" t="s">
        <v>641</v>
      </c>
      <c r="T105" s="84" t="str">
        <f>HYPERLINK("http://www.youtube.com/channel/UCGojjKra09WLZc28x_iynrQ")</f>
        <v>http://www.youtube.com/channel/UCGojjKra09WLZc28x_iynrQ</v>
      </c>
      <c r="U105" s="82"/>
      <c r="V105" s="82" t="s">
        <v>705</v>
      </c>
      <c r="W105" s="84" t="str">
        <f>HYPERLINK("https://www.youtube.com/watch?v=OnEGLhO0ZkA")</f>
        <v>https://www.youtube.com/watch?v=OnEGLhO0ZkA</v>
      </c>
      <c r="X105" s="82" t="s">
        <v>735</v>
      </c>
      <c r="Y105" s="82">
        <v>4</v>
      </c>
      <c r="Z105" s="86">
        <v>43744.18224537037</v>
      </c>
      <c r="AA105" s="86">
        <v>43744.18224537037</v>
      </c>
      <c r="AB105" s="82"/>
      <c r="AC105" s="82"/>
      <c r="AD105" s="82"/>
      <c r="AE105" s="82">
        <v>1</v>
      </c>
      <c r="AF105" s="81">
        <v>1</v>
      </c>
      <c r="AG105" s="81">
        <v>1</v>
      </c>
      <c r="AH105" s="49">
        <v>2</v>
      </c>
      <c r="AI105" s="110">
        <v>22.22222222222222</v>
      </c>
      <c r="AJ105" s="49">
        <v>0</v>
      </c>
      <c r="AK105" s="50">
        <v>0</v>
      </c>
      <c r="AL105" s="49">
        <v>0</v>
      </c>
      <c r="AM105" s="50">
        <v>0</v>
      </c>
      <c r="AN105" s="49">
        <v>4</v>
      </c>
      <c r="AO105" s="110">
        <v>44.44444444444444</v>
      </c>
      <c r="AP105" s="49">
        <v>9</v>
      </c>
    </row>
    <row r="106" spans="1:42" ht="15">
      <c r="A106" s="66" t="s">
        <v>325</v>
      </c>
      <c r="B106" s="66" t="s">
        <v>372</v>
      </c>
      <c r="C106" s="67" t="s">
        <v>404</v>
      </c>
      <c r="D106" s="68">
        <v>3</v>
      </c>
      <c r="E106" s="69"/>
      <c r="F106" s="70">
        <v>40</v>
      </c>
      <c r="G106" s="67"/>
      <c r="H106" s="71"/>
      <c r="I106" s="72"/>
      <c r="J106" s="72"/>
      <c r="K106" s="35" t="s">
        <v>65</v>
      </c>
      <c r="L106" s="80">
        <v>106</v>
      </c>
      <c r="M106" s="80"/>
      <c r="N106" s="74"/>
      <c r="O106" s="82" t="s">
        <v>406</v>
      </c>
      <c r="P106" s="82" t="s">
        <v>197</v>
      </c>
      <c r="Q106" s="82" t="s">
        <v>500</v>
      </c>
      <c r="R106" s="82" t="s">
        <v>325</v>
      </c>
      <c r="S106" s="82" t="s">
        <v>642</v>
      </c>
      <c r="T106" s="84" t="str">
        <f>HYPERLINK("http://www.youtube.com/channel/UClOtw2dELCrOWJhhtF4HJEg")</f>
        <v>http://www.youtube.com/channel/UClOtw2dELCrOWJhhtF4HJEg</v>
      </c>
      <c r="U106" s="82"/>
      <c r="V106" s="82" t="s">
        <v>705</v>
      </c>
      <c r="W106" s="84" t="str">
        <f>HYPERLINK("https://www.youtube.com/watch?v=OnEGLhO0ZkA")</f>
        <v>https://www.youtube.com/watch?v=OnEGLhO0ZkA</v>
      </c>
      <c r="X106" s="82" t="s">
        <v>735</v>
      </c>
      <c r="Y106" s="82">
        <v>1</v>
      </c>
      <c r="Z106" s="86">
        <v>43744.198229166665</v>
      </c>
      <c r="AA106" s="86">
        <v>43744.198229166665</v>
      </c>
      <c r="AB106" s="82"/>
      <c r="AC106" s="82"/>
      <c r="AD106" s="82"/>
      <c r="AE106" s="82">
        <v>1</v>
      </c>
      <c r="AF106" s="81">
        <v>1</v>
      </c>
      <c r="AG106" s="81">
        <v>1</v>
      </c>
      <c r="AH106" s="49">
        <v>0</v>
      </c>
      <c r="AI106" s="50">
        <v>0</v>
      </c>
      <c r="AJ106" s="49">
        <v>0</v>
      </c>
      <c r="AK106" s="50">
        <v>0</v>
      </c>
      <c r="AL106" s="49">
        <v>0</v>
      </c>
      <c r="AM106" s="50">
        <v>0</v>
      </c>
      <c r="AN106" s="49">
        <v>4</v>
      </c>
      <c r="AO106" s="110">
        <v>44.44444444444444</v>
      </c>
      <c r="AP106" s="49">
        <v>9</v>
      </c>
    </row>
    <row r="107" spans="1:42" ht="15">
      <c r="A107" s="66" t="s">
        <v>326</v>
      </c>
      <c r="B107" s="66" t="s">
        <v>372</v>
      </c>
      <c r="C107" s="67" t="s">
        <v>404</v>
      </c>
      <c r="D107" s="68">
        <v>3</v>
      </c>
      <c r="E107" s="69"/>
      <c r="F107" s="70">
        <v>40</v>
      </c>
      <c r="G107" s="67"/>
      <c r="H107" s="71"/>
      <c r="I107" s="72"/>
      <c r="J107" s="72"/>
      <c r="K107" s="35" t="s">
        <v>65</v>
      </c>
      <c r="L107" s="80">
        <v>107</v>
      </c>
      <c r="M107" s="80"/>
      <c r="N107" s="74"/>
      <c r="O107" s="82" t="s">
        <v>406</v>
      </c>
      <c r="P107" s="82" t="s">
        <v>197</v>
      </c>
      <c r="Q107" s="82" t="s">
        <v>501</v>
      </c>
      <c r="R107" s="82" t="s">
        <v>326</v>
      </c>
      <c r="S107" s="82" t="s">
        <v>643</v>
      </c>
      <c r="T107" s="84" t="str">
        <f>HYPERLINK("http://www.youtube.com/channel/UCWnOoFnOrYODGSSxnImeuCA")</f>
        <v>http://www.youtube.com/channel/UCWnOoFnOrYODGSSxnImeuCA</v>
      </c>
      <c r="U107" s="82"/>
      <c r="V107" s="82" t="s">
        <v>705</v>
      </c>
      <c r="W107" s="84" t="str">
        <f>HYPERLINK("https://www.youtube.com/watch?v=OnEGLhO0ZkA")</f>
        <v>https://www.youtube.com/watch?v=OnEGLhO0ZkA</v>
      </c>
      <c r="X107" s="82" t="s">
        <v>735</v>
      </c>
      <c r="Y107" s="82">
        <v>0</v>
      </c>
      <c r="Z107" s="86">
        <v>43744.21975694445</v>
      </c>
      <c r="AA107" s="86">
        <v>43744.21975694445</v>
      </c>
      <c r="AB107" s="82"/>
      <c r="AC107" s="82"/>
      <c r="AD107" s="82"/>
      <c r="AE107" s="82">
        <v>1</v>
      </c>
      <c r="AF107" s="81">
        <v>1</v>
      </c>
      <c r="AG107" s="81">
        <v>1</v>
      </c>
      <c r="AH107" s="49">
        <v>4</v>
      </c>
      <c r="AI107" s="110">
        <v>4.938271604938271</v>
      </c>
      <c r="AJ107" s="49">
        <v>4</v>
      </c>
      <c r="AK107" s="110">
        <v>4.938271604938271</v>
      </c>
      <c r="AL107" s="49">
        <v>0</v>
      </c>
      <c r="AM107" s="50">
        <v>0</v>
      </c>
      <c r="AN107" s="49">
        <v>16</v>
      </c>
      <c r="AO107" s="110">
        <v>19.753086419753085</v>
      </c>
      <c r="AP107" s="49">
        <v>81</v>
      </c>
    </row>
    <row r="108" spans="1:42" ht="15">
      <c r="A108" s="66" t="s">
        <v>327</v>
      </c>
      <c r="B108" s="66" t="s">
        <v>372</v>
      </c>
      <c r="C108" s="67" t="s">
        <v>404</v>
      </c>
      <c r="D108" s="68">
        <v>3</v>
      </c>
      <c r="E108" s="69"/>
      <c r="F108" s="70">
        <v>40</v>
      </c>
      <c r="G108" s="67"/>
      <c r="H108" s="71"/>
      <c r="I108" s="72"/>
      <c r="J108" s="72"/>
      <c r="K108" s="35" t="s">
        <v>65</v>
      </c>
      <c r="L108" s="80">
        <v>108</v>
      </c>
      <c r="M108" s="80"/>
      <c r="N108" s="74"/>
      <c r="O108" s="82" t="s">
        <v>406</v>
      </c>
      <c r="P108" s="82" t="s">
        <v>197</v>
      </c>
      <c r="Q108" s="82" t="s">
        <v>502</v>
      </c>
      <c r="R108" s="82" t="s">
        <v>327</v>
      </c>
      <c r="S108" s="82" t="s">
        <v>644</v>
      </c>
      <c r="T108" s="84" t="str">
        <f>HYPERLINK("http://www.youtube.com/channel/UCIHYPsgrsRcDrK0rKDQYpBA")</f>
        <v>http://www.youtube.com/channel/UCIHYPsgrsRcDrK0rKDQYpBA</v>
      </c>
      <c r="U108" s="82"/>
      <c r="V108" s="82" t="s">
        <v>705</v>
      </c>
      <c r="W108" s="84" t="str">
        <f>HYPERLINK("https://www.youtube.com/watch?v=OnEGLhO0ZkA")</f>
        <v>https://www.youtube.com/watch?v=OnEGLhO0ZkA</v>
      </c>
      <c r="X108" s="82" t="s">
        <v>735</v>
      </c>
      <c r="Y108" s="82">
        <v>4</v>
      </c>
      <c r="Z108" s="86">
        <v>43744.22164351852</v>
      </c>
      <c r="AA108" s="86">
        <v>43744.22164351852</v>
      </c>
      <c r="AB108" s="82"/>
      <c r="AC108" s="82"/>
      <c r="AD108" s="82"/>
      <c r="AE108" s="82">
        <v>1</v>
      </c>
      <c r="AF108" s="81">
        <v>1</v>
      </c>
      <c r="AG108" s="81">
        <v>1</v>
      </c>
      <c r="AH108" s="49">
        <v>2</v>
      </c>
      <c r="AI108" s="50">
        <v>3.125</v>
      </c>
      <c r="AJ108" s="49">
        <v>0</v>
      </c>
      <c r="AK108" s="50">
        <v>0</v>
      </c>
      <c r="AL108" s="49">
        <v>0</v>
      </c>
      <c r="AM108" s="50">
        <v>0</v>
      </c>
      <c r="AN108" s="49">
        <v>13</v>
      </c>
      <c r="AO108" s="50">
        <v>20.3125</v>
      </c>
      <c r="AP108" s="49">
        <v>64</v>
      </c>
    </row>
    <row r="109" spans="1:42" ht="15">
      <c r="A109" s="66" t="s">
        <v>328</v>
      </c>
      <c r="B109" s="66" t="s">
        <v>372</v>
      </c>
      <c r="C109" s="67" t="s">
        <v>404</v>
      </c>
      <c r="D109" s="68">
        <v>3</v>
      </c>
      <c r="E109" s="69"/>
      <c r="F109" s="70">
        <v>40</v>
      </c>
      <c r="G109" s="67"/>
      <c r="H109" s="71"/>
      <c r="I109" s="72"/>
      <c r="J109" s="72"/>
      <c r="K109" s="35" t="s">
        <v>65</v>
      </c>
      <c r="L109" s="80">
        <v>109</v>
      </c>
      <c r="M109" s="80"/>
      <c r="N109" s="74"/>
      <c r="O109" s="82" t="s">
        <v>406</v>
      </c>
      <c r="P109" s="82" t="s">
        <v>197</v>
      </c>
      <c r="Q109" s="82" t="s">
        <v>503</v>
      </c>
      <c r="R109" s="82" t="s">
        <v>328</v>
      </c>
      <c r="S109" s="82" t="s">
        <v>645</v>
      </c>
      <c r="T109" s="84" t="str">
        <f>HYPERLINK("http://www.youtube.com/channel/UCcqxoFOjYOOHcJg5wiMv0GQ")</f>
        <v>http://www.youtube.com/channel/UCcqxoFOjYOOHcJg5wiMv0GQ</v>
      </c>
      <c r="U109" s="82"/>
      <c r="V109" s="82" t="s">
        <v>705</v>
      </c>
      <c r="W109" s="84" t="str">
        <f>HYPERLINK("https://www.youtube.com/watch?v=OnEGLhO0ZkA")</f>
        <v>https://www.youtube.com/watch?v=OnEGLhO0ZkA</v>
      </c>
      <c r="X109" s="82" t="s">
        <v>735</v>
      </c>
      <c r="Y109" s="82">
        <v>1</v>
      </c>
      <c r="Z109" s="86">
        <v>43744.22557870371</v>
      </c>
      <c r="AA109" s="86">
        <v>43744.22557870371</v>
      </c>
      <c r="AB109" s="82"/>
      <c r="AC109" s="82"/>
      <c r="AD109" s="82"/>
      <c r="AE109" s="82">
        <v>1</v>
      </c>
      <c r="AF109" s="81">
        <v>1</v>
      </c>
      <c r="AG109" s="81">
        <v>1</v>
      </c>
      <c r="AH109" s="49">
        <v>1</v>
      </c>
      <c r="AI109" s="50">
        <v>12.5</v>
      </c>
      <c r="AJ109" s="49">
        <v>0</v>
      </c>
      <c r="AK109" s="50">
        <v>0</v>
      </c>
      <c r="AL109" s="49">
        <v>0</v>
      </c>
      <c r="AM109" s="50">
        <v>0</v>
      </c>
      <c r="AN109" s="49">
        <v>4</v>
      </c>
      <c r="AO109" s="50">
        <v>50</v>
      </c>
      <c r="AP109" s="49">
        <v>8</v>
      </c>
    </row>
    <row r="110" spans="1:42" ht="15">
      <c r="A110" s="66" t="s">
        <v>329</v>
      </c>
      <c r="B110" s="66" t="s">
        <v>372</v>
      </c>
      <c r="C110" s="67" t="s">
        <v>404</v>
      </c>
      <c r="D110" s="68">
        <v>3</v>
      </c>
      <c r="E110" s="69"/>
      <c r="F110" s="70">
        <v>40</v>
      </c>
      <c r="G110" s="67"/>
      <c r="H110" s="71"/>
      <c r="I110" s="72"/>
      <c r="J110" s="72"/>
      <c r="K110" s="35" t="s">
        <v>65</v>
      </c>
      <c r="L110" s="80">
        <v>110</v>
      </c>
      <c r="M110" s="80"/>
      <c r="N110" s="74"/>
      <c r="O110" s="82" t="s">
        <v>406</v>
      </c>
      <c r="P110" s="82" t="s">
        <v>197</v>
      </c>
      <c r="Q110" s="82" t="s">
        <v>504</v>
      </c>
      <c r="R110" s="82" t="s">
        <v>329</v>
      </c>
      <c r="S110" s="82" t="s">
        <v>646</v>
      </c>
      <c r="T110" s="84" t="str">
        <f>HYPERLINK("http://www.youtube.com/channel/UCtp5mQQN5HoE6f4Wx0A3ZOA")</f>
        <v>http://www.youtube.com/channel/UCtp5mQQN5HoE6f4Wx0A3ZOA</v>
      </c>
      <c r="U110" s="82"/>
      <c r="V110" s="82" t="s">
        <v>705</v>
      </c>
      <c r="W110" s="84" t="str">
        <f>HYPERLINK("https://www.youtube.com/watch?v=OnEGLhO0ZkA")</f>
        <v>https://www.youtube.com/watch?v=OnEGLhO0ZkA</v>
      </c>
      <c r="X110" s="82" t="s">
        <v>735</v>
      </c>
      <c r="Y110" s="82">
        <v>3</v>
      </c>
      <c r="Z110" s="86">
        <v>43744.26474537037</v>
      </c>
      <c r="AA110" s="86">
        <v>43744.26474537037</v>
      </c>
      <c r="AB110" s="84" t="str">
        <f>HYPERLINK("http://www.youtube.com/results?search_query=%23healinginafrika")</f>
        <v>http://www.youtube.com/results?search_query=%23healinginafrika</v>
      </c>
      <c r="AC110" s="82" t="s">
        <v>740</v>
      </c>
      <c r="AD110" s="82"/>
      <c r="AE110" s="82">
        <v>1</v>
      </c>
      <c r="AF110" s="81">
        <v>1</v>
      </c>
      <c r="AG110" s="81">
        <v>1</v>
      </c>
      <c r="AH110" s="49">
        <v>0</v>
      </c>
      <c r="AI110" s="50">
        <v>0</v>
      </c>
      <c r="AJ110" s="49">
        <v>1</v>
      </c>
      <c r="AK110" s="110">
        <v>4.166666666666667</v>
      </c>
      <c r="AL110" s="49">
        <v>0</v>
      </c>
      <c r="AM110" s="50">
        <v>0</v>
      </c>
      <c r="AN110" s="49">
        <v>9</v>
      </c>
      <c r="AO110" s="50">
        <v>37.5</v>
      </c>
      <c r="AP110" s="49">
        <v>24</v>
      </c>
    </row>
    <row r="111" spans="1:42" ht="15">
      <c r="A111" s="66" t="s">
        <v>330</v>
      </c>
      <c r="B111" s="66" t="s">
        <v>372</v>
      </c>
      <c r="C111" s="67" t="s">
        <v>404</v>
      </c>
      <c r="D111" s="68">
        <v>3</v>
      </c>
      <c r="E111" s="69"/>
      <c r="F111" s="70">
        <v>40</v>
      </c>
      <c r="G111" s="67"/>
      <c r="H111" s="71"/>
      <c r="I111" s="72"/>
      <c r="J111" s="72"/>
      <c r="K111" s="35" t="s">
        <v>65</v>
      </c>
      <c r="L111" s="80">
        <v>111</v>
      </c>
      <c r="M111" s="80"/>
      <c r="N111" s="74"/>
      <c r="O111" s="82" t="s">
        <v>406</v>
      </c>
      <c r="P111" s="82" t="s">
        <v>197</v>
      </c>
      <c r="Q111" s="82" t="s">
        <v>505</v>
      </c>
      <c r="R111" s="82" t="s">
        <v>330</v>
      </c>
      <c r="S111" s="82" t="s">
        <v>647</v>
      </c>
      <c r="T111" s="84" t="str">
        <f>HYPERLINK("http://www.youtube.com/channel/UCaNilsIXHf0nO8Q5QCEukNw")</f>
        <v>http://www.youtube.com/channel/UCaNilsIXHf0nO8Q5QCEukNw</v>
      </c>
      <c r="U111" s="82"/>
      <c r="V111" s="82" t="s">
        <v>705</v>
      </c>
      <c r="W111" s="84" t="str">
        <f>HYPERLINK("https://www.youtube.com/watch?v=OnEGLhO0ZkA")</f>
        <v>https://www.youtube.com/watch?v=OnEGLhO0ZkA</v>
      </c>
      <c r="X111" s="82" t="s">
        <v>735</v>
      </c>
      <c r="Y111" s="82">
        <v>1</v>
      </c>
      <c r="Z111" s="86">
        <v>43744.27700231481</v>
      </c>
      <c r="AA111" s="86">
        <v>43744.27700231481</v>
      </c>
      <c r="AB111" s="82"/>
      <c r="AC111" s="82"/>
      <c r="AD111" s="82"/>
      <c r="AE111" s="82">
        <v>1</v>
      </c>
      <c r="AF111" s="81">
        <v>1</v>
      </c>
      <c r="AG111" s="81">
        <v>1</v>
      </c>
      <c r="AH111" s="49">
        <v>1</v>
      </c>
      <c r="AI111" s="110">
        <v>2.6315789473684212</v>
      </c>
      <c r="AJ111" s="49">
        <v>0</v>
      </c>
      <c r="AK111" s="50">
        <v>0</v>
      </c>
      <c r="AL111" s="49">
        <v>0</v>
      </c>
      <c r="AM111" s="50">
        <v>0</v>
      </c>
      <c r="AN111" s="49">
        <v>14</v>
      </c>
      <c r="AO111" s="110">
        <v>36.8421052631579</v>
      </c>
      <c r="AP111" s="49">
        <v>38</v>
      </c>
    </row>
    <row r="112" spans="1:42" ht="15">
      <c r="A112" s="66" t="s">
        <v>331</v>
      </c>
      <c r="B112" s="66" t="s">
        <v>372</v>
      </c>
      <c r="C112" s="67" t="s">
        <v>404</v>
      </c>
      <c r="D112" s="68">
        <v>3</v>
      </c>
      <c r="E112" s="69"/>
      <c r="F112" s="70">
        <v>40</v>
      </c>
      <c r="G112" s="67"/>
      <c r="H112" s="71"/>
      <c r="I112" s="72"/>
      <c r="J112" s="72"/>
      <c r="K112" s="35" t="s">
        <v>65</v>
      </c>
      <c r="L112" s="80">
        <v>112</v>
      </c>
      <c r="M112" s="80"/>
      <c r="N112" s="74"/>
      <c r="O112" s="82" t="s">
        <v>406</v>
      </c>
      <c r="P112" s="82" t="s">
        <v>197</v>
      </c>
      <c r="Q112" s="82" t="s">
        <v>506</v>
      </c>
      <c r="R112" s="82" t="s">
        <v>331</v>
      </c>
      <c r="S112" s="82" t="s">
        <v>648</v>
      </c>
      <c r="T112" s="84" t="str">
        <f>HYPERLINK("http://www.youtube.com/channel/UCPnaVjGWd2ekpKUesS_wSuw")</f>
        <v>http://www.youtube.com/channel/UCPnaVjGWd2ekpKUesS_wSuw</v>
      </c>
      <c r="U112" s="82"/>
      <c r="V112" s="82" t="s">
        <v>705</v>
      </c>
      <c r="W112" s="84" t="str">
        <f>HYPERLINK("https://www.youtube.com/watch?v=OnEGLhO0ZkA")</f>
        <v>https://www.youtube.com/watch?v=OnEGLhO0ZkA</v>
      </c>
      <c r="X112" s="82" t="s">
        <v>735</v>
      </c>
      <c r="Y112" s="82">
        <v>7</v>
      </c>
      <c r="Z112" s="86">
        <v>43744.29393518518</v>
      </c>
      <c r="AA112" s="86">
        <v>43744.29393518518</v>
      </c>
      <c r="AB112" s="82"/>
      <c r="AC112" s="82"/>
      <c r="AD112" s="82"/>
      <c r="AE112" s="82">
        <v>1</v>
      </c>
      <c r="AF112" s="81">
        <v>1</v>
      </c>
      <c r="AG112" s="81">
        <v>1</v>
      </c>
      <c r="AH112" s="49">
        <v>4</v>
      </c>
      <c r="AI112" s="110">
        <v>8.16326530612245</v>
      </c>
      <c r="AJ112" s="49">
        <v>1</v>
      </c>
      <c r="AK112" s="110">
        <v>2.0408163265306123</v>
      </c>
      <c r="AL112" s="49">
        <v>0</v>
      </c>
      <c r="AM112" s="50">
        <v>0</v>
      </c>
      <c r="AN112" s="49">
        <v>17</v>
      </c>
      <c r="AO112" s="110">
        <v>34.69387755102041</v>
      </c>
      <c r="AP112" s="49">
        <v>49</v>
      </c>
    </row>
    <row r="113" spans="1:42" ht="15">
      <c r="A113" s="66" t="s">
        <v>332</v>
      </c>
      <c r="B113" s="66" t="s">
        <v>372</v>
      </c>
      <c r="C113" s="67" t="s">
        <v>404</v>
      </c>
      <c r="D113" s="68">
        <v>3</v>
      </c>
      <c r="E113" s="69"/>
      <c r="F113" s="70">
        <v>40</v>
      </c>
      <c r="G113" s="67"/>
      <c r="H113" s="71"/>
      <c r="I113" s="72"/>
      <c r="J113" s="72"/>
      <c r="K113" s="35" t="s">
        <v>65</v>
      </c>
      <c r="L113" s="80">
        <v>113</v>
      </c>
      <c r="M113" s="80"/>
      <c r="N113" s="74"/>
      <c r="O113" s="82" t="s">
        <v>406</v>
      </c>
      <c r="P113" s="82" t="s">
        <v>197</v>
      </c>
      <c r="Q113" s="82" t="s">
        <v>507</v>
      </c>
      <c r="R113" s="82" t="s">
        <v>332</v>
      </c>
      <c r="S113" s="82" t="s">
        <v>649</v>
      </c>
      <c r="T113" s="84" t="str">
        <f>HYPERLINK("http://www.youtube.com/channel/UCLnBwkuJ2MEgNjpDe9sPD6w")</f>
        <v>http://www.youtube.com/channel/UCLnBwkuJ2MEgNjpDe9sPD6w</v>
      </c>
      <c r="U113" s="82"/>
      <c r="V113" s="82" t="s">
        <v>705</v>
      </c>
      <c r="W113" s="84" t="str">
        <f>HYPERLINK("https://www.youtube.com/watch?v=OnEGLhO0ZkA")</f>
        <v>https://www.youtube.com/watch?v=OnEGLhO0ZkA</v>
      </c>
      <c r="X113" s="82" t="s">
        <v>735</v>
      </c>
      <c r="Y113" s="82">
        <v>1</v>
      </c>
      <c r="Z113" s="86">
        <v>43744.30888888889</v>
      </c>
      <c r="AA113" s="86">
        <v>43744.30888888889</v>
      </c>
      <c r="AB113" s="82"/>
      <c r="AC113" s="82"/>
      <c r="AD113" s="82"/>
      <c r="AE113" s="82">
        <v>1</v>
      </c>
      <c r="AF113" s="81">
        <v>1</v>
      </c>
      <c r="AG113" s="81">
        <v>1</v>
      </c>
      <c r="AH113" s="49">
        <v>1</v>
      </c>
      <c r="AI113" s="110">
        <v>33.333333333333336</v>
      </c>
      <c r="AJ113" s="49">
        <v>0</v>
      </c>
      <c r="AK113" s="50">
        <v>0</v>
      </c>
      <c r="AL113" s="49">
        <v>0</v>
      </c>
      <c r="AM113" s="50">
        <v>0</v>
      </c>
      <c r="AN113" s="49">
        <v>1</v>
      </c>
      <c r="AO113" s="110">
        <v>33.333333333333336</v>
      </c>
      <c r="AP113" s="49">
        <v>3</v>
      </c>
    </row>
    <row r="114" spans="1:42" ht="15">
      <c r="A114" s="66" t="s">
        <v>333</v>
      </c>
      <c r="B114" s="66" t="s">
        <v>372</v>
      </c>
      <c r="C114" s="67" t="s">
        <v>404</v>
      </c>
      <c r="D114" s="68">
        <v>3</v>
      </c>
      <c r="E114" s="69"/>
      <c r="F114" s="70">
        <v>40</v>
      </c>
      <c r="G114" s="67"/>
      <c r="H114" s="71"/>
      <c r="I114" s="72"/>
      <c r="J114" s="72"/>
      <c r="K114" s="35" t="s">
        <v>65</v>
      </c>
      <c r="L114" s="80">
        <v>114</v>
      </c>
      <c r="M114" s="80"/>
      <c r="N114" s="74"/>
      <c r="O114" s="82" t="s">
        <v>406</v>
      </c>
      <c r="P114" s="82" t="s">
        <v>197</v>
      </c>
      <c r="Q114" s="82" t="s">
        <v>508</v>
      </c>
      <c r="R114" s="82" t="s">
        <v>333</v>
      </c>
      <c r="S114" s="82" t="s">
        <v>650</v>
      </c>
      <c r="T114" s="84" t="str">
        <f>HYPERLINK("http://www.youtube.com/channel/UCgETU6S0dQmJyWePbdoh4kA")</f>
        <v>http://www.youtube.com/channel/UCgETU6S0dQmJyWePbdoh4kA</v>
      </c>
      <c r="U114" s="82"/>
      <c r="V114" s="82" t="s">
        <v>705</v>
      </c>
      <c r="W114" s="84" t="str">
        <f>HYPERLINK("https://www.youtube.com/watch?v=OnEGLhO0ZkA")</f>
        <v>https://www.youtube.com/watch?v=OnEGLhO0ZkA</v>
      </c>
      <c r="X114" s="82" t="s">
        <v>735</v>
      </c>
      <c r="Y114" s="82">
        <v>1</v>
      </c>
      <c r="Z114" s="86">
        <v>43744.30946759259</v>
      </c>
      <c r="AA114" s="86">
        <v>43744.30946759259</v>
      </c>
      <c r="AB114" s="82"/>
      <c r="AC114" s="82"/>
      <c r="AD114" s="82"/>
      <c r="AE114" s="82">
        <v>1</v>
      </c>
      <c r="AF114" s="81">
        <v>1</v>
      </c>
      <c r="AG114" s="81">
        <v>1</v>
      </c>
      <c r="AH114" s="49">
        <v>0</v>
      </c>
      <c r="AI114" s="50">
        <v>0</v>
      </c>
      <c r="AJ114" s="49">
        <v>0</v>
      </c>
      <c r="AK114" s="50">
        <v>0</v>
      </c>
      <c r="AL114" s="49">
        <v>0</v>
      </c>
      <c r="AM114" s="50">
        <v>0</v>
      </c>
      <c r="AN114" s="49">
        <v>1</v>
      </c>
      <c r="AO114" s="110">
        <v>33.333333333333336</v>
      </c>
      <c r="AP114" s="49">
        <v>3</v>
      </c>
    </row>
    <row r="115" spans="1:42" ht="15">
      <c r="A115" s="66" t="s">
        <v>334</v>
      </c>
      <c r="B115" s="66" t="s">
        <v>372</v>
      </c>
      <c r="C115" s="67" t="s">
        <v>404</v>
      </c>
      <c r="D115" s="68">
        <v>3</v>
      </c>
      <c r="E115" s="69"/>
      <c r="F115" s="70">
        <v>40</v>
      </c>
      <c r="G115" s="67"/>
      <c r="H115" s="71"/>
      <c r="I115" s="72"/>
      <c r="J115" s="72"/>
      <c r="K115" s="35" t="s">
        <v>65</v>
      </c>
      <c r="L115" s="80">
        <v>115</v>
      </c>
      <c r="M115" s="80"/>
      <c r="N115" s="74"/>
      <c r="O115" s="82" t="s">
        <v>406</v>
      </c>
      <c r="P115" s="82" t="s">
        <v>197</v>
      </c>
      <c r="Q115" s="82" t="s">
        <v>509</v>
      </c>
      <c r="R115" s="82" t="s">
        <v>334</v>
      </c>
      <c r="S115" s="82" t="s">
        <v>651</v>
      </c>
      <c r="T115" s="84" t="str">
        <f>HYPERLINK("http://www.youtube.com/channel/UCj8cTpfZlegheWKAFZ-M6pg")</f>
        <v>http://www.youtube.com/channel/UCj8cTpfZlegheWKAFZ-M6pg</v>
      </c>
      <c r="U115" s="82"/>
      <c r="V115" s="82" t="s">
        <v>705</v>
      </c>
      <c r="W115" s="84" t="str">
        <f>HYPERLINK("https://www.youtube.com/watch?v=OnEGLhO0ZkA")</f>
        <v>https://www.youtube.com/watch?v=OnEGLhO0ZkA</v>
      </c>
      <c r="X115" s="82" t="s">
        <v>735</v>
      </c>
      <c r="Y115" s="82">
        <v>0</v>
      </c>
      <c r="Z115" s="86">
        <v>43744.31814814815</v>
      </c>
      <c r="AA115" s="86">
        <v>43744.31814814815</v>
      </c>
      <c r="AB115" s="82"/>
      <c r="AC115" s="82"/>
      <c r="AD115" s="82"/>
      <c r="AE115" s="82">
        <v>1</v>
      </c>
      <c r="AF115" s="81">
        <v>1</v>
      </c>
      <c r="AG115" s="81">
        <v>1</v>
      </c>
      <c r="AH115" s="49">
        <v>1</v>
      </c>
      <c r="AI115" s="110">
        <v>1.4492753623188406</v>
      </c>
      <c r="AJ115" s="49">
        <v>2</v>
      </c>
      <c r="AK115" s="110">
        <v>2.898550724637681</v>
      </c>
      <c r="AL115" s="49">
        <v>0</v>
      </c>
      <c r="AM115" s="50">
        <v>0</v>
      </c>
      <c r="AN115" s="49">
        <v>16</v>
      </c>
      <c r="AO115" s="110">
        <v>23.18840579710145</v>
      </c>
      <c r="AP115" s="49">
        <v>69</v>
      </c>
    </row>
    <row r="116" spans="1:42" ht="15">
      <c r="A116" s="66" t="s">
        <v>335</v>
      </c>
      <c r="B116" s="66" t="s">
        <v>372</v>
      </c>
      <c r="C116" s="67" t="s">
        <v>404</v>
      </c>
      <c r="D116" s="68">
        <v>3</v>
      </c>
      <c r="E116" s="69"/>
      <c r="F116" s="70">
        <v>40</v>
      </c>
      <c r="G116" s="67"/>
      <c r="H116" s="71"/>
      <c r="I116" s="72"/>
      <c r="J116" s="72"/>
      <c r="K116" s="35" t="s">
        <v>65</v>
      </c>
      <c r="L116" s="80">
        <v>116</v>
      </c>
      <c r="M116" s="80"/>
      <c r="N116" s="74"/>
      <c r="O116" s="82" t="s">
        <v>406</v>
      </c>
      <c r="P116" s="82" t="s">
        <v>197</v>
      </c>
      <c r="Q116" s="82" t="s">
        <v>510</v>
      </c>
      <c r="R116" s="82" t="s">
        <v>335</v>
      </c>
      <c r="S116" s="82" t="s">
        <v>652</v>
      </c>
      <c r="T116" s="84" t="str">
        <f>HYPERLINK("http://www.youtube.com/channel/UCjtvdNVtO1Uqs_onUo3qUSw")</f>
        <v>http://www.youtube.com/channel/UCjtvdNVtO1Uqs_onUo3qUSw</v>
      </c>
      <c r="U116" s="82"/>
      <c r="V116" s="82" t="s">
        <v>705</v>
      </c>
      <c r="W116" s="84" t="str">
        <f>HYPERLINK("https://www.youtube.com/watch?v=OnEGLhO0ZkA")</f>
        <v>https://www.youtube.com/watch?v=OnEGLhO0ZkA</v>
      </c>
      <c r="X116" s="82" t="s">
        <v>735</v>
      </c>
      <c r="Y116" s="82">
        <v>1</v>
      </c>
      <c r="Z116" s="86">
        <v>43744.40641203704</v>
      </c>
      <c r="AA116" s="86">
        <v>43744.40641203704</v>
      </c>
      <c r="AB116" s="82"/>
      <c r="AC116" s="82"/>
      <c r="AD116" s="82"/>
      <c r="AE116" s="82">
        <v>1</v>
      </c>
      <c r="AF116" s="81">
        <v>1</v>
      </c>
      <c r="AG116" s="81">
        <v>1</v>
      </c>
      <c r="AH116" s="49">
        <v>1</v>
      </c>
      <c r="AI116" s="50">
        <v>6.25</v>
      </c>
      <c r="AJ116" s="49">
        <v>0</v>
      </c>
      <c r="AK116" s="50">
        <v>0</v>
      </c>
      <c r="AL116" s="49">
        <v>0</v>
      </c>
      <c r="AM116" s="50">
        <v>0</v>
      </c>
      <c r="AN116" s="49">
        <v>7</v>
      </c>
      <c r="AO116" s="50">
        <v>43.75</v>
      </c>
      <c r="AP116" s="49">
        <v>16</v>
      </c>
    </row>
    <row r="117" spans="1:42" ht="15">
      <c r="A117" s="66" t="s">
        <v>336</v>
      </c>
      <c r="B117" s="66" t="s">
        <v>372</v>
      </c>
      <c r="C117" s="67" t="s">
        <v>404</v>
      </c>
      <c r="D117" s="68">
        <v>3</v>
      </c>
      <c r="E117" s="69"/>
      <c r="F117" s="70">
        <v>40</v>
      </c>
      <c r="G117" s="67"/>
      <c r="H117" s="71"/>
      <c r="I117" s="72"/>
      <c r="J117" s="72"/>
      <c r="K117" s="35" t="s">
        <v>65</v>
      </c>
      <c r="L117" s="80">
        <v>117</v>
      </c>
      <c r="M117" s="80"/>
      <c r="N117" s="74"/>
      <c r="O117" s="82" t="s">
        <v>406</v>
      </c>
      <c r="P117" s="82" t="s">
        <v>197</v>
      </c>
      <c r="Q117" s="82" t="s">
        <v>511</v>
      </c>
      <c r="R117" s="82" t="s">
        <v>336</v>
      </c>
      <c r="S117" s="82" t="s">
        <v>653</v>
      </c>
      <c r="T117" s="84" t="str">
        <f>HYPERLINK("http://www.youtube.com/channel/UCumqm7IRDZvBuJWMwt5x-xw")</f>
        <v>http://www.youtube.com/channel/UCumqm7IRDZvBuJWMwt5x-xw</v>
      </c>
      <c r="U117" s="82"/>
      <c r="V117" s="82" t="s">
        <v>705</v>
      </c>
      <c r="W117" s="84" t="str">
        <f>HYPERLINK("https://www.youtube.com/watch?v=OnEGLhO0ZkA")</f>
        <v>https://www.youtube.com/watch?v=OnEGLhO0ZkA</v>
      </c>
      <c r="X117" s="82" t="s">
        <v>735</v>
      </c>
      <c r="Y117" s="82">
        <v>1</v>
      </c>
      <c r="Z117" s="86">
        <v>43744.418969907405</v>
      </c>
      <c r="AA117" s="86">
        <v>43744.418969907405</v>
      </c>
      <c r="AB117" s="82"/>
      <c r="AC117" s="82"/>
      <c r="AD117" s="82"/>
      <c r="AE117" s="82">
        <v>1</v>
      </c>
      <c r="AF117" s="81">
        <v>1</v>
      </c>
      <c r="AG117" s="81">
        <v>1</v>
      </c>
      <c r="AH117" s="49">
        <v>1</v>
      </c>
      <c r="AI117" s="50">
        <v>50</v>
      </c>
      <c r="AJ117" s="49">
        <v>0</v>
      </c>
      <c r="AK117" s="50">
        <v>0</v>
      </c>
      <c r="AL117" s="49">
        <v>0</v>
      </c>
      <c r="AM117" s="50">
        <v>0</v>
      </c>
      <c r="AN117" s="49">
        <v>1</v>
      </c>
      <c r="AO117" s="50">
        <v>50</v>
      </c>
      <c r="AP117" s="49">
        <v>2</v>
      </c>
    </row>
    <row r="118" spans="1:42" ht="15">
      <c r="A118" s="66" t="s">
        <v>337</v>
      </c>
      <c r="B118" s="66" t="s">
        <v>372</v>
      </c>
      <c r="C118" s="67" t="s">
        <v>404</v>
      </c>
      <c r="D118" s="68">
        <v>3</v>
      </c>
      <c r="E118" s="69"/>
      <c r="F118" s="70">
        <v>40</v>
      </c>
      <c r="G118" s="67"/>
      <c r="H118" s="71"/>
      <c r="I118" s="72"/>
      <c r="J118" s="72"/>
      <c r="K118" s="35" t="s">
        <v>65</v>
      </c>
      <c r="L118" s="80">
        <v>118</v>
      </c>
      <c r="M118" s="80"/>
      <c r="N118" s="74"/>
      <c r="O118" s="82" t="s">
        <v>406</v>
      </c>
      <c r="P118" s="82" t="s">
        <v>197</v>
      </c>
      <c r="Q118" s="82" t="s">
        <v>512</v>
      </c>
      <c r="R118" s="82" t="s">
        <v>337</v>
      </c>
      <c r="S118" s="82" t="s">
        <v>654</v>
      </c>
      <c r="T118" s="84" t="str">
        <f>HYPERLINK("http://www.youtube.com/channel/UCqmzrUyTOODhZZny-yyYxWg")</f>
        <v>http://www.youtube.com/channel/UCqmzrUyTOODhZZny-yyYxWg</v>
      </c>
      <c r="U118" s="82"/>
      <c r="V118" s="82" t="s">
        <v>705</v>
      </c>
      <c r="W118" s="84" t="str">
        <f>HYPERLINK("https://www.youtube.com/watch?v=OnEGLhO0ZkA")</f>
        <v>https://www.youtube.com/watch?v=OnEGLhO0ZkA</v>
      </c>
      <c r="X118" s="82" t="s">
        <v>735</v>
      </c>
      <c r="Y118" s="82">
        <v>4</v>
      </c>
      <c r="Z118" s="86">
        <v>43744.48096064815</v>
      </c>
      <c r="AA118" s="86">
        <v>43744.48096064815</v>
      </c>
      <c r="AB118" s="82"/>
      <c r="AC118" s="82"/>
      <c r="AD118" s="82"/>
      <c r="AE118" s="82">
        <v>1</v>
      </c>
      <c r="AF118" s="81">
        <v>1</v>
      </c>
      <c r="AG118" s="81">
        <v>1</v>
      </c>
      <c r="AH118" s="49">
        <v>1</v>
      </c>
      <c r="AI118" s="110">
        <v>7.6923076923076925</v>
      </c>
      <c r="AJ118" s="49">
        <v>0</v>
      </c>
      <c r="AK118" s="50">
        <v>0</v>
      </c>
      <c r="AL118" s="49">
        <v>0</v>
      </c>
      <c r="AM118" s="50">
        <v>0</v>
      </c>
      <c r="AN118" s="49">
        <v>3</v>
      </c>
      <c r="AO118" s="110">
        <v>23.076923076923077</v>
      </c>
      <c r="AP118" s="49">
        <v>13</v>
      </c>
    </row>
    <row r="119" spans="1:42" ht="15">
      <c r="A119" s="66" t="s">
        <v>338</v>
      </c>
      <c r="B119" s="66" t="s">
        <v>372</v>
      </c>
      <c r="C119" s="67" t="s">
        <v>404</v>
      </c>
      <c r="D119" s="68">
        <v>3</v>
      </c>
      <c r="E119" s="69"/>
      <c r="F119" s="70">
        <v>40</v>
      </c>
      <c r="G119" s="67"/>
      <c r="H119" s="71"/>
      <c r="I119" s="72"/>
      <c r="J119" s="72"/>
      <c r="K119" s="35" t="s">
        <v>65</v>
      </c>
      <c r="L119" s="80">
        <v>119</v>
      </c>
      <c r="M119" s="80"/>
      <c r="N119" s="74"/>
      <c r="O119" s="82" t="s">
        <v>406</v>
      </c>
      <c r="P119" s="82" t="s">
        <v>197</v>
      </c>
      <c r="Q119" s="82" t="s">
        <v>513</v>
      </c>
      <c r="R119" s="82" t="s">
        <v>338</v>
      </c>
      <c r="S119" s="82" t="s">
        <v>655</v>
      </c>
      <c r="T119" s="84" t="str">
        <f>HYPERLINK("http://www.youtube.com/channel/UCtHt_3e9Et7a0OzBsOCd_Jg")</f>
        <v>http://www.youtube.com/channel/UCtHt_3e9Et7a0OzBsOCd_Jg</v>
      </c>
      <c r="U119" s="82"/>
      <c r="V119" s="82" t="s">
        <v>705</v>
      </c>
      <c r="W119" s="84" t="str">
        <f>HYPERLINK("https://www.youtube.com/watch?v=OnEGLhO0ZkA")</f>
        <v>https://www.youtube.com/watch?v=OnEGLhO0ZkA</v>
      </c>
      <c r="X119" s="82" t="s">
        <v>735</v>
      </c>
      <c r="Y119" s="82">
        <v>1</v>
      </c>
      <c r="Z119" s="86">
        <v>43744.517800925925</v>
      </c>
      <c r="AA119" s="86">
        <v>43744.51826388889</v>
      </c>
      <c r="AB119" s="82"/>
      <c r="AC119" s="82"/>
      <c r="AD119" s="82"/>
      <c r="AE119" s="82">
        <v>1</v>
      </c>
      <c r="AF119" s="81">
        <v>1</v>
      </c>
      <c r="AG119" s="81">
        <v>1</v>
      </c>
      <c r="AH119" s="49">
        <v>1</v>
      </c>
      <c r="AI119" s="50">
        <v>20</v>
      </c>
      <c r="AJ119" s="49">
        <v>0</v>
      </c>
      <c r="AK119" s="50">
        <v>0</v>
      </c>
      <c r="AL119" s="49">
        <v>0</v>
      </c>
      <c r="AM119" s="50">
        <v>0</v>
      </c>
      <c r="AN119" s="49">
        <v>0</v>
      </c>
      <c r="AO119" s="50">
        <v>0</v>
      </c>
      <c r="AP119" s="49">
        <v>5</v>
      </c>
    </row>
    <row r="120" spans="1:42" ht="15">
      <c r="A120" s="66" t="s">
        <v>339</v>
      </c>
      <c r="B120" s="66" t="s">
        <v>372</v>
      </c>
      <c r="C120" s="67" t="s">
        <v>404</v>
      </c>
      <c r="D120" s="68">
        <v>3</v>
      </c>
      <c r="E120" s="69"/>
      <c r="F120" s="70">
        <v>40</v>
      </c>
      <c r="G120" s="67"/>
      <c r="H120" s="71"/>
      <c r="I120" s="72"/>
      <c r="J120" s="72"/>
      <c r="K120" s="35" t="s">
        <v>65</v>
      </c>
      <c r="L120" s="80">
        <v>120</v>
      </c>
      <c r="M120" s="80"/>
      <c r="N120" s="74"/>
      <c r="O120" s="82" t="s">
        <v>406</v>
      </c>
      <c r="P120" s="82" t="s">
        <v>197</v>
      </c>
      <c r="Q120" s="82" t="s">
        <v>514</v>
      </c>
      <c r="R120" s="82" t="s">
        <v>339</v>
      </c>
      <c r="S120" s="82" t="s">
        <v>656</v>
      </c>
      <c r="T120" s="84" t="str">
        <f>HYPERLINK("http://www.youtube.com/channel/UCdl-KU6TwCmyK8wkyNLVF_w")</f>
        <v>http://www.youtube.com/channel/UCdl-KU6TwCmyK8wkyNLVF_w</v>
      </c>
      <c r="U120" s="82"/>
      <c r="V120" s="82" t="s">
        <v>705</v>
      </c>
      <c r="W120" s="84" t="str">
        <f>HYPERLINK("https://www.youtube.com/watch?v=OnEGLhO0ZkA")</f>
        <v>https://www.youtube.com/watch?v=OnEGLhO0ZkA</v>
      </c>
      <c r="X120" s="82" t="s">
        <v>735</v>
      </c>
      <c r="Y120" s="82">
        <v>0</v>
      </c>
      <c r="Z120" s="86">
        <v>43744.552835648145</v>
      </c>
      <c r="AA120" s="86">
        <v>43744.552835648145</v>
      </c>
      <c r="AB120" s="82"/>
      <c r="AC120" s="82"/>
      <c r="AD120" s="82"/>
      <c r="AE120" s="82">
        <v>1</v>
      </c>
      <c r="AF120" s="81">
        <v>1</v>
      </c>
      <c r="AG120" s="81">
        <v>1</v>
      </c>
      <c r="AH120" s="49">
        <v>1</v>
      </c>
      <c r="AI120" s="110">
        <v>33.333333333333336</v>
      </c>
      <c r="AJ120" s="49">
        <v>0</v>
      </c>
      <c r="AK120" s="50">
        <v>0</v>
      </c>
      <c r="AL120" s="49">
        <v>0</v>
      </c>
      <c r="AM120" s="50">
        <v>0</v>
      </c>
      <c r="AN120" s="49">
        <v>0</v>
      </c>
      <c r="AO120" s="50">
        <v>0</v>
      </c>
      <c r="AP120" s="49">
        <v>3</v>
      </c>
    </row>
    <row r="121" spans="1:42" ht="15">
      <c r="A121" s="66" t="s">
        <v>340</v>
      </c>
      <c r="B121" s="66" t="s">
        <v>372</v>
      </c>
      <c r="C121" s="67" t="s">
        <v>404</v>
      </c>
      <c r="D121" s="68">
        <v>3</v>
      </c>
      <c r="E121" s="69"/>
      <c r="F121" s="70">
        <v>40</v>
      </c>
      <c r="G121" s="67"/>
      <c r="H121" s="71"/>
      <c r="I121" s="72"/>
      <c r="J121" s="72"/>
      <c r="K121" s="35" t="s">
        <v>65</v>
      </c>
      <c r="L121" s="80">
        <v>121</v>
      </c>
      <c r="M121" s="80"/>
      <c r="N121" s="74"/>
      <c r="O121" s="82" t="s">
        <v>406</v>
      </c>
      <c r="P121" s="82" t="s">
        <v>197</v>
      </c>
      <c r="Q121" s="82" t="s">
        <v>515</v>
      </c>
      <c r="R121" s="82" t="s">
        <v>340</v>
      </c>
      <c r="S121" s="82" t="s">
        <v>657</v>
      </c>
      <c r="T121" s="84" t="str">
        <f>HYPERLINK("http://www.youtube.com/channel/UC8W62yD4KJ8tF8U7zy55d_g")</f>
        <v>http://www.youtube.com/channel/UC8W62yD4KJ8tF8U7zy55d_g</v>
      </c>
      <c r="U121" s="82"/>
      <c r="V121" s="82" t="s">
        <v>705</v>
      </c>
      <c r="W121" s="84" t="str">
        <f>HYPERLINK("https://www.youtube.com/watch?v=OnEGLhO0ZkA")</f>
        <v>https://www.youtube.com/watch?v=OnEGLhO0ZkA</v>
      </c>
      <c r="X121" s="82" t="s">
        <v>735</v>
      </c>
      <c r="Y121" s="82">
        <v>0</v>
      </c>
      <c r="Z121" s="86">
        <v>43744.585381944446</v>
      </c>
      <c r="AA121" s="86">
        <v>43744.585381944446</v>
      </c>
      <c r="AB121" s="82"/>
      <c r="AC121" s="82"/>
      <c r="AD121" s="82"/>
      <c r="AE121" s="82">
        <v>1</v>
      </c>
      <c r="AF121" s="81">
        <v>1</v>
      </c>
      <c r="AG121" s="81">
        <v>1</v>
      </c>
      <c r="AH121" s="49">
        <v>1</v>
      </c>
      <c r="AI121" s="110">
        <v>14.285714285714286</v>
      </c>
      <c r="AJ121" s="49">
        <v>0</v>
      </c>
      <c r="AK121" s="50">
        <v>0</v>
      </c>
      <c r="AL121" s="49">
        <v>0</v>
      </c>
      <c r="AM121" s="50">
        <v>0</v>
      </c>
      <c r="AN121" s="49">
        <v>1</v>
      </c>
      <c r="AO121" s="110">
        <v>14.285714285714286</v>
      </c>
      <c r="AP121" s="49">
        <v>7</v>
      </c>
    </row>
    <row r="122" spans="1:42" ht="15">
      <c r="A122" s="66" t="s">
        <v>341</v>
      </c>
      <c r="B122" s="66" t="s">
        <v>372</v>
      </c>
      <c r="C122" s="67" t="s">
        <v>404</v>
      </c>
      <c r="D122" s="68">
        <v>3</v>
      </c>
      <c r="E122" s="69"/>
      <c r="F122" s="70">
        <v>40</v>
      </c>
      <c r="G122" s="67"/>
      <c r="H122" s="71"/>
      <c r="I122" s="72"/>
      <c r="J122" s="72"/>
      <c r="K122" s="35" t="s">
        <v>65</v>
      </c>
      <c r="L122" s="80">
        <v>122</v>
      </c>
      <c r="M122" s="80"/>
      <c r="N122" s="74"/>
      <c r="O122" s="82" t="s">
        <v>406</v>
      </c>
      <c r="P122" s="82" t="s">
        <v>197</v>
      </c>
      <c r="Q122" s="82" t="s">
        <v>516</v>
      </c>
      <c r="R122" s="82" t="s">
        <v>341</v>
      </c>
      <c r="S122" s="82" t="s">
        <v>658</v>
      </c>
      <c r="T122" s="84" t="str">
        <f>HYPERLINK("http://www.youtube.com/channel/UCeRXGLLtH8R3jiwTx4QMePQ")</f>
        <v>http://www.youtube.com/channel/UCeRXGLLtH8R3jiwTx4QMePQ</v>
      </c>
      <c r="U122" s="82"/>
      <c r="V122" s="82" t="s">
        <v>705</v>
      </c>
      <c r="W122" s="84" t="str">
        <f>HYPERLINK("https://www.youtube.com/watch?v=OnEGLhO0ZkA")</f>
        <v>https://www.youtube.com/watch?v=OnEGLhO0ZkA</v>
      </c>
      <c r="X122" s="82" t="s">
        <v>735</v>
      </c>
      <c r="Y122" s="82">
        <v>2</v>
      </c>
      <c r="Z122" s="86">
        <v>43744.61751157408</v>
      </c>
      <c r="AA122" s="86">
        <v>43744.61751157408</v>
      </c>
      <c r="AB122" s="82"/>
      <c r="AC122" s="82"/>
      <c r="AD122" s="82"/>
      <c r="AE122" s="82">
        <v>1</v>
      </c>
      <c r="AF122" s="81">
        <v>1</v>
      </c>
      <c r="AG122" s="81">
        <v>1</v>
      </c>
      <c r="AH122" s="49">
        <v>1</v>
      </c>
      <c r="AI122" s="50">
        <v>5</v>
      </c>
      <c r="AJ122" s="49">
        <v>0</v>
      </c>
      <c r="AK122" s="50">
        <v>0</v>
      </c>
      <c r="AL122" s="49">
        <v>0</v>
      </c>
      <c r="AM122" s="50">
        <v>0</v>
      </c>
      <c r="AN122" s="49">
        <v>10</v>
      </c>
      <c r="AO122" s="50">
        <v>50</v>
      </c>
      <c r="AP122" s="49">
        <v>20</v>
      </c>
    </row>
    <row r="123" spans="1:42" ht="15">
      <c r="A123" s="66" t="s">
        <v>342</v>
      </c>
      <c r="B123" s="66" t="s">
        <v>372</v>
      </c>
      <c r="C123" s="67" t="s">
        <v>404</v>
      </c>
      <c r="D123" s="68">
        <v>3</v>
      </c>
      <c r="E123" s="69"/>
      <c r="F123" s="70">
        <v>40</v>
      </c>
      <c r="G123" s="67"/>
      <c r="H123" s="71"/>
      <c r="I123" s="72"/>
      <c r="J123" s="72"/>
      <c r="K123" s="35" t="s">
        <v>65</v>
      </c>
      <c r="L123" s="80">
        <v>123</v>
      </c>
      <c r="M123" s="80"/>
      <c r="N123" s="74"/>
      <c r="O123" s="82" t="s">
        <v>406</v>
      </c>
      <c r="P123" s="82" t="s">
        <v>197</v>
      </c>
      <c r="Q123" s="82" t="s">
        <v>517</v>
      </c>
      <c r="R123" s="82" t="s">
        <v>342</v>
      </c>
      <c r="S123" s="82" t="s">
        <v>659</v>
      </c>
      <c r="T123" s="84" t="str">
        <f>HYPERLINK("http://www.youtube.com/channel/UCrNm7Y0iwXHwsQATSjiHCRg")</f>
        <v>http://www.youtube.com/channel/UCrNm7Y0iwXHwsQATSjiHCRg</v>
      </c>
      <c r="U123" s="82"/>
      <c r="V123" s="82" t="s">
        <v>705</v>
      </c>
      <c r="W123" s="84" t="str">
        <f>HYPERLINK("https://www.youtube.com/watch?v=OnEGLhO0ZkA")</f>
        <v>https://www.youtube.com/watch?v=OnEGLhO0ZkA</v>
      </c>
      <c r="X123" s="82" t="s">
        <v>735</v>
      </c>
      <c r="Y123" s="82">
        <v>1</v>
      </c>
      <c r="Z123" s="86">
        <v>43744.631157407406</v>
      </c>
      <c r="AA123" s="86">
        <v>43744.631157407406</v>
      </c>
      <c r="AB123" s="82"/>
      <c r="AC123" s="82"/>
      <c r="AD123" s="82"/>
      <c r="AE123" s="82">
        <v>1</v>
      </c>
      <c r="AF123" s="81">
        <v>1</v>
      </c>
      <c r="AG123" s="81">
        <v>1</v>
      </c>
      <c r="AH123" s="49">
        <v>0</v>
      </c>
      <c r="AI123" s="50">
        <v>0</v>
      </c>
      <c r="AJ123" s="49">
        <v>0</v>
      </c>
      <c r="AK123" s="50">
        <v>0</v>
      </c>
      <c r="AL123" s="49">
        <v>0</v>
      </c>
      <c r="AM123" s="50">
        <v>0</v>
      </c>
      <c r="AN123" s="49">
        <v>4</v>
      </c>
      <c r="AO123" s="110">
        <v>28.571428571428573</v>
      </c>
      <c r="AP123" s="49">
        <v>14</v>
      </c>
    </row>
    <row r="124" spans="1:42" ht="15">
      <c r="A124" s="66" t="s">
        <v>343</v>
      </c>
      <c r="B124" s="66" t="s">
        <v>372</v>
      </c>
      <c r="C124" s="67" t="s">
        <v>404</v>
      </c>
      <c r="D124" s="68">
        <v>3</v>
      </c>
      <c r="E124" s="69"/>
      <c r="F124" s="70">
        <v>40</v>
      </c>
      <c r="G124" s="67"/>
      <c r="H124" s="71"/>
      <c r="I124" s="72"/>
      <c r="J124" s="72"/>
      <c r="K124" s="35" t="s">
        <v>65</v>
      </c>
      <c r="L124" s="80">
        <v>124</v>
      </c>
      <c r="M124" s="80"/>
      <c r="N124" s="74"/>
      <c r="O124" s="82" t="s">
        <v>406</v>
      </c>
      <c r="P124" s="82" t="s">
        <v>197</v>
      </c>
      <c r="Q124" s="82" t="s">
        <v>518</v>
      </c>
      <c r="R124" s="82" t="s">
        <v>343</v>
      </c>
      <c r="S124" s="82" t="s">
        <v>660</v>
      </c>
      <c r="T124" s="84" t="str">
        <f>HYPERLINK("http://www.youtube.com/channel/UCyKikC5yhzTXZvVk0VW4cRg")</f>
        <v>http://www.youtube.com/channel/UCyKikC5yhzTXZvVk0VW4cRg</v>
      </c>
      <c r="U124" s="82"/>
      <c r="V124" s="82" t="s">
        <v>705</v>
      </c>
      <c r="W124" s="84" t="str">
        <f>HYPERLINK("https://www.youtube.com/watch?v=OnEGLhO0ZkA")</f>
        <v>https://www.youtube.com/watch?v=OnEGLhO0ZkA</v>
      </c>
      <c r="X124" s="82" t="s">
        <v>735</v>
      </c>
      <c r="Y124" s="82">
        <v>1</v>
      </c>
      <c r="Z124" s="86">
        <v>43744.65304398148</v>
      </c>
      <c r="AA124" s="86">
        <v>43744.65304398148</v>
      </c>
      <c r="AB124" s="82"/>
      <c r="AC124" s="82"/>
      <c r="AD124" s="82"/>
      <c r="AE124" s="82">
        <v>1</v>
      </c>
      <c r="AF124" s="81">
        <v>1</v>
      </c>
      <c r="AG124" s="81">
        <v>1</v>
      </c>
      <c r="AH124" s="49">
        <v>1</v>
      </c>
      <c r="AI124" s="50">
        <v>20</v>
      </c>
      <c r="AJ124" s="49">
        <v>0</v>
      </c>
      <c r="AK124" s="50">
        <v>0</v>
      </c>
      <c r="AL124" s="49">
        <v>0</v>
      </c>
      <c r="AM124" s="50">
        <v>0</v>
      </c>
      <c r="AN124" s="49">
        <v>2</v>
      </c>
      <c r="AO124" s="50">
        <v>40</v>
      </c>
      <c r="AP124" s="49">
        <v>5</v>
      </c>
    </row>
    <row r="125" spans="1:42" ht="15">
      <c r="A125" s="66" t="s">
        <v>344</v>
      </c>
      <c r="B125" s="66" t="s">
        <v>372</v>
      </c>
      <c r="C125" s="67" t="s">
        <v>404</v>
      </c>
      <c r="D125" s="68">
        <v>3</v>
      </c>
      <c r="E125" s="69"/>
      <c r="F125" s="70">
        <v>40</v>
      </c>
      <c r="G125" s="67"/>
      <c r="H125" s="71"/>
      <c r="I125" s="72"/>
      <c r="J125" s="72"/>
      <c r="K125" s="35" t="s">
        <v>65</v>
      </c>
      <c r="L125" s="80">
        <v>125</v>
      </c>
      <c r="M125" s="80"/>
      <c r="N125" s="74"/>
      <c r="O125" s="82" t="s">
        <v>406</v>
      </c>
      <c r="P125" s="82" t="s">
        <v>197</v>
      </c>
      <c r="Q125" s="82" t="s">
        <v>519</v>
      </c>
      <c r="R125" s="82" t="s">
        <v>344</v>
      </c>
      <c r="S125" s="82" t="s">
        <v>661</v>
      </c>
      <c r="T125" s="84" t="str">
        <f>HYPERLINK("http://www.youtube.com/channel/UCbWVBsrodqC1H8TJp3GjiXA")</f>
        <v>http://www.youtube.com/channel/UCbWVBsrodqC1H8TJp3GjiXA</v>
      </c>
      <c r="U125" s="82"/>
      <c r="V125" s="82" t="s">
        <v>705</v>
      </c>
      <c r="W125" s="84" t="str">
        <f>HYPERLINK("https://www.youtube.com/watch?v=OnEGLhO0ZkA")</f>
        <v>https://www.youtube.com/watch?v=OnEGLhO0ZkA</v>
      </c>
      <c r="X125" s="82" t="s">
        <v>735</v>
      </c>
      <c r="Y125" s="82">
        <v>0</v>
      </c>
      <c r="Z125" s="86">
        <v>43744.72869212963</v>
      </c>
      <c r="AA125" s="86">
        <v>43744.72869212963</v>
      </c>
      <c r="AB125" s="82"/>
      <c r="AC125" s="82"/>
      <c r="AD125" s="82"/>
      <c r="AE125" s="82">
        <v>1</v>
      </c>
      <c r="AF125" s="81">
        <v>1</v>
      </c>
      <c r="AG125" s="81">
        <v>1</v>
      </c>
      <c r="AH125" s="49">
        <v>0</v>
      </c>
      <c r="AI125" s="50">
        <v>0</v>
      </c>
      <c r="AJ125" s="49">
        <v>0</v>
      </c>
      <c r="AK125" s="50">
        <v>0</v>
      </c>
      <c r="AL125" s="49">
        <v>0</v>
      </c>
      <c r="AM125" s="50">
        <v>0</v>
      </c>
      <c r="AN125" s="49">
        <v>2</v>
      </c>
      <c r="AO125" s="50">
        <v>100</v>
      </c>
      <c r="AP125" s="49">
        <v>2</v>
      </c>
    </row>
    <row r="126" spans="1:42" ht="15">
      <c r="A126" s="66" t="s">
        <v>345</v>
      </c>
      <c r="B126" s="66" t="s">
        <v>372</v>
      </c>
      <c r="C126" s="67" t="s">
        <v>404</v>
      </c>
      <c r="D126" s="68">
        <v>3</v>
      </c>
      <c r="E126" s="69"/>
      <c r="F126" s="70">
        <v>40</v>
      </c>
      <c r="G126" s="67"/>
      <c r="H126" s="71"/>
      <c r="I126" s="72"/>
      <c r="J126" s="72"/>
      <c r="K126" s="35" t="s">
        <v>65</v>
      </c>
      <c r="L126" s="80">
        <v>126</v>
      </c>
      <c r="M126" s="80"/>
      <c r="N126" s="74"/>
      <c r="O126" s="82" t="s">
        <v>406</v>
      </c>
      <c r="P126" s="82" t="s">
        <v>197</v>
      </c>
      <c r="Q126" s="82" t="s">
        <v>520</v>
      </c>
      <c r="R126" s="82" t="s">
        <v>345</v>
      </c>
      <c r="S126" s="82" t="s">
        <v>662</v>
      </c>
      <c r="T126" s="84" t="str">
        <f>HYPERLINK("http://www.youtube.com/channel/UC5WTOypNmrJictESxhQ9fGQ")</f>
        <v>http://www.youtube.com/channel/UC5WTOypNmrJictESxhQ9fGQ</v>
      </c>
      <c r="U126" s="82"/>
      <c r="V126" s="82" t="s">
        <v>705</v>
      </c>
      <c r="W126" s="84" t="str">
        <f>HYPERLINK("https://www.youtube.com/watch?v=OnEGLhO0ZkA")</f>
        <v>https://www.youtube.com/watch?v=OnEGLhO0ZkA</v>
      </c>
      <c r="X126" s="82" t="s">
        <v>735</v>
      </c>
      <c r="Y126" s="82">
        <v>1</v>
      </c>
      <c r="Z126" s="86">
        <v>43744.730844907404</v>
      </c>
      <c r="AA126" s="86">
        <v>43744.730844907404</v>
      </c>
      <c r="AB126" s="82"/>
      <c r="AC126" s="82"/>
      <c r="AD126" s="82"/>
      <c r="AE126" s="82">
        <v>1</v>
      </c>
      <c r="AF126" s="81">
        <v>1</v>
      </c>
      <c r="AG126" s="81">
        <v>1</v>
      </c>
      <c r="AH126" s="49">
        <v>0</v>
      </c>
      <c r="AI126" s="50">
        <v>0</v>
      </c>
      <c r="AJ126" s="49">
        <v>0</v>
      </c>
      <c r="AK126" s="50">
        <v>0</v>
      </c>
      <c r="AL126" s="49">
        <v>0</v>
      </c>
      <c r="AM126" s="50">
        <v>0</v>
      </c>
      <c r="AN126" s="49">
        <v>1</v>
      </c>
      <c r="AO126" s="50">
        <v>50</v>
      </c>
      <c r="AP126" s="49">
        <v>2</v>
      </c>
    </row>
    <row r="127" spans="1:42" ht="15">
      <c r="A127" s="66" t="s">
        <v>346</v>
      </c>
      <c r="B127" s="66" t="s">
        <v>372</v>
      </c>
      <c r="C127" s="67" t="s">
        <v>404</v>
      </c>
      <c r="D127" s="68">
        <v>3</v>
      </c>
      <c r="E127" s="69"/>
      <c r="F127" s="70">
        <v>40</v>
      </c>
      <c r="G127" s="67"/>
      <c r="H127" s="71"/>
      <c r="I127" s="72"/>
      <c r="J127" s="72"/>
      <c r="K127" s="35" t="s">
        <v>65</v>
      </c>
      <c r="L127" s="80">
        <v>127</v>
      </c>
      <c r="M127" s="80"/>
      <c r="N127" s="74"/>
      <c r="O127" s="82" t="s">
        <v>406</v>
      </c>
      <c r="P127" s="82" t="s">
        <v>197</v>
      </c>
      <c r="Q127" s="82" t="s">
        <v>521</v>
      </c>
      <c r="R127" s="82" t="s">
        <v>346</v>
      </c>
      <c r="S127" s="82" t="s">
        <v>663</v>
      </c>
      <c r="T127" s="84" t="str">
        <f>HYPERLINK("http://www.youtube.com/channel/UCPU4FlfeDnW7IRkKoCQyjyQ")</f>
        <v>http://www.youtube.com/channel/UCPU4FlfeDnW7IRkKoCQyjyQ</v>
      </c>
      <c r="U127" s="82"/>
      <c r="V127" s="82" t="s">
        <v>705</v>
      </c>
      <c r="W127" s="84" t="str">
        <f>HYPERLINK("https://www.youtube.com/watch?v=OnEGLhO0ZkA")</f>
        <v>https://www.youtube.com/watch?v=OnEGLhO0ZkA</v>
      </c>
      <c r="X127" s="82" t="s">
        <v>735</v>
      </c>
      <c r="Y127" s="82">
        <v>0</v>
      </c>
      <c r="Z127" s="86">
        <v>43744.77841435185</v>
      </c>
      <c r="AA127" s="86">
        <v>43744.77841435185</v>
      </c>
      <c r="AB127" s="82"/>
      <c r="AC127" s="82"/>
      <c r="AD127" s="82"/>
      <c r="AE127" s="82">
        <v>1</v>
      </c>
      <c r="AF127" s="81">
        <v>1</v>
      </c>
      <c r="AG127" s="81">
        <v>1</v>
      </c>
      <c r="AH127" s="49">
        <v>6</v>
      </c>
      <c r="AI127" s="110">
        <v>5.882352941176471</v>
      </c>
      <c r="AJ127" s="49">
        <v>3</v>
      </c>
      <c r="AK127" s="110">
        <v>2.9411764705882355</v>
      </c>
      <c r="AL127" s="49">
        <v>0</v>
      </c>
      <c r="AM127" s="50">
        <v>0</v>
      </c>
      <c r="AN127" s="49">
        <v>27</v>
      </c>
      <c r="AO127" s="110">
        <v>26.470588235294116</v>
      </c>
      <c r="AP127" s="49">
        <v>102</v>
      </c>
    </row>
    <row r="128" spans="1:42" ht="15">
      <c r="A128" s="66" t="s">
        <v>347</v>
      </c>
      <c r="B128" s="66" t="s">
        <v>372</v>
      </c>
      <c r="C128" s="67" t="s">
        <v>404</v>
      </c>
      <c r="D128" s="68">
        <v>3</v>
      </c>
      <c r="E128" s="69"/>
      <c r="F128" s="70">
        <v>40</v>
      </c>
      <c r="G128" s="67"/>
      <c r="H128" s="71"/>
      <c r="I128" s="72"/>
      <c r="J128" s="72"/>
      <c r="K128" s="35" t="s">
        <v>65</v>
      </c>
      <c r="L128" s="80">
        <v>128</v>
      </c>
      <c r="M128" s="80"/>
      <c r="N128" s="74"/>
      <c r="O128" s="82" t="s">
        <v>406</v>
      </c>
      <c r="P128" s="82" t="s">
        <v>197</v>
      </c>
      <c r="Q128" s="82" t="s">
        <v>522</v>
      </c>
      <c r="R128" s="82" t="s">
        <v>347</v>
      </c>
      <c r="S128" s="82" t="s">
        <v>664</v>
      </c>
      <c r="T128" s="84" t="str">
        <f>HYPERLINK("http://www.youtube.com/channel/UCIQeNXIAIs4AEGN64C0KK0w")</f>
        <v>http://www.youtube.com/channel/UCIQeNXIAIs4AEGN64C0KK0w</v>
      </c>
      <c r="U128" s="82"/>
      <c r="V128" s="82" t="s">
        <v>705</v>
      </c>
      <c r="W128" s="84" t="str">
        <f>HYPERLINK("https://www.youtube.com/watch?v=OnEGLhO0ZkA")</f>
        <v>https://www.youtube.com/watch?v=OnEGLhO0ZkA</v>
      </c>
      <c r="X128" s="82" t="s">
        <v>735</v>
      </c>
      <c r="Y128" s="82">
        <v>1</v>
      </c>
      <c r="Z128" s="86">
        <v>43744.90114583333</v>
      </c>
      <c r="AA128" s="86">
        <v>43744.90114583333</v>
      </c>
      <c r="AB128" s="82"/>
      <c r="AC128" s="82"/>
      <c r="AD128" s="82"/>
      <c r="AE128" s="82">
        <v>1</v>
      </c>
      <c r="AF128" s="81">
        <v>1</v>
      </c>
      <c r="AG128" s="81">
        <v>1</v>
      </c>
      <c r="AH128" s="49">
        <v>3</v>
      </c>
      <c r="AI128" s="110">
        <v>15.789473684210526</v>
      </c>
      <c r="AJ128" s="49">
        <v>0</v>
      </c>
      <c r="AK128" s="50">
        <v>0</v>
      </c>
      <c r="AL128" s="49">
        <v>0</v>
      </c>
      <c r="AM128" s="50">
        <v>0</v>
      </c>
      <c r="AN128" s="49">
        <v>11</v>
      </c>
      <c r="AO128" s="110">
        <v>57.89473684210526</v>
      </c>
      <c r="AP128" s="49">
        <v>19</v>
      </c>
    </row>
    <row r="129" spans="1:42" ht="15">
      <c r="A129" s="66" t="s">
        <v>348</v>
      </c>
      <c r="B129" s="66" t="s">
        <v>372</v>
      </c>
      <c r="C129" s="67" t="s">
        <v>1784</v>
      </c>
      <c r="D129" s="68">
        <v>3</v>
      </c>
      <c r="E129" s="69"/>
      <c r="F129" s="70">
        <v>40</v>
      </c>
      <c r="G129" s="67"/>
      <c r="H129" s="71"/>
      <c r="I129" s="72"/>
      <c r="J129" s="72"/>
      <c r="K129" s="35" t="s">
        <v>65</v>
      </c>
      <c r="L129" s="80">
        <v>129</v>
      </c>
      <c r="M129" s="80"/>
      <c r="N129" s="74"/>
      <c r="O129" s="82" t="s">
        <v>406</v>
      </c>
      <c r="P129" s="82" t="s">
        <v>197</v>
      </c>
      <c r="Q129" s="82" t="s">
        <v>523</v>
      </c>
      <c r="R129" s="82" t="s">
        <v>348</v>
      </c>
      <c r="S129" s="82" t="s">
        <v>665</v>
      </c>
      <c r="T129" s="84" t="str">
        <f>HYPERLINK("http://www.youtube.com/channel/UCMTBIObLI9rZtgssGTqo-vw")</f>
        <v>http://www.youtube.com/channel/UCMTBIObLI9rZtgssGTqo-vw</v>
      </c>
      <c r="U129" s="82"/>
      <c r="V129" s="82" t="s">
        <v>705</v>
      </c>
      <c r="W129" s="84" t="str">
        <f>HYPERLINK("https://www.youtube.com/watch?v=OnEGLhO0ZkA")</f>
        <v>https://www.youtube.com/watch?v=OnEGLhO0ZkA</v>
      </c>
      <c r="X129" s="82" t="s">
        <v>735</v>
      </c>
      <c r="Y129" s="82">
        <v>4</v>
      </c>
      <c r="Z129" s="86">
        <v>43745.01658564815</v>
      </c>
      <c r="AA129" s="86">
        <v>43745.01658564815</v>
      </c>
      <c r="AB129" s="82"/>
      <c r="AC129" s="82"/>
      <c r="AD129" s="82"/>
      <c r="AE129" s="82">
        <v>9</v>
      </c>
      <c r="AF129" s="81">
        <v>1</v>
      </c>
      <c r="AG129" s="81">
        <v>1</v>
      </c>
      <c r="AH129" s="49">
        <v>0</v>
      </c>
      <c r="AI129" s="50">
        <v>0</v>
      </c>
      <c r="AJ129" s="49">
        <v>0</v>
      </c>
      <c r="AK129" s="50">
        <v>0</v>
      </c>
      <c r="AL129" s="49">
        <v>0</v>
      </c>
      <c r="AM129" s="50">
        <v>0</v>
      </c>
      <c r="AN129" s="49">
        <v>16</v>
      </c>
      <c r="AO129" s="110">
        <v>48.484848484848484</v>
      </c>
      <c r="AP129" s="49">
        <v>33</v>
      </c>
    </row>
    <row r="130" spans="1:42" ht="15">
      <c r="A130" s="66" t="s">
        <v>349</v>
      </c>
      <c r="B130" s="66" t="s">
        <v>372</v>
      </c>
      <c r="C130" s="67" t="s">
        <v>404</v>
      </c>
      <c r="D130" s="68">
        <v>3</v>
      </c>
      <c r="E130" s="69"/>
      <c r="F130" s="70">
        <v>40</v>
      </c>
      <c r="G130" s="67"/>
      <c r="H130" s="71"/>
      <c r="I130" s="72"/>
      <c r="J130" s="72"/>
      <c r="K130" s="35" t="s">
        <v>65</v>
      </c>
      <c r="L130" s="80">
        <v>130</v>
      </c>
      <c r="M130" s="80"/>
      <c r="N130" s="74"/>
      <c r="O130" s="82" t="s">
        <v>406</v>
      </c>
      <c r="P130" s="82" t="s">
        <v>197</v>
      </c>
      <c r="Q130" s="82" t="s">
        <v>524</v>
      </c>
      <c r="R130" s="82" t="s">
        <v>349</v>
      </c>
      <c r="S130" s="82" t="s">
        <v>666</v>
      </c>
      <c r="T130" s="84" t="str">
        <f>HYPERLINK("http://www.youtube.com/channel/UC7p6T0RX4u_Wqw_3Hl-sgaA")</f>
        <v>http://www.youtube.com/channel/UC7p6T0RX4u_Wqw_3Hl-sgaA</v>
      </c>
      <c r="U130" s="82"/>
      <c r="V130" s="82" t="s">
        <v>705</v>
      </c>
      <c r="W130" s="84" t="str">
        <f>HYPERLINK("https://www.youtube.com/watch?v=OnEGLhO0ZkA")</f>
        <v>https://www.youtube.com/watch?v=OnEGLhO0ZkA</v>
      </c>
      <c r="X130" s="82" t="s">
        <v>735</v>
      </c>
      <c r="Y130" s="82">
        <v>6</v>
      </c>
      <c r="Z130" s="86">
        <v>43745.032546296294</v>
      </c>
      <c r="AA130" s="86">
        <v>43745.032546296294</v>
      </c>
      <c r="AB130" s="82"/>
      <c r="AC130" s="82"/>
      <c r="AD130" s="82"/>
      <c r="AE130" s="82">
        <v>1</v>
      </c>
      <c r="AF130" s="81">
        <v>1</v>
      </c>
      <c r="AG130" s="81">
        <v>1</v>
      </c>
      <c r="AH130" s="49">
        <v>2</v>
      </c>
      <c r="AI130" s="110">
        <v>14.285714285714286</v>
      </c>
      <c r="AJ130" s="49">
        <v>0</v>
      </c>
      <c r="AK130" s="50">
        <v>0</v>
      </c>
      <c r="AL130" s="49">
        <v>0</v>
      </c>
      <c r="AM130" s="50">
        <v>0</v>
      </c>
      <c r="AN130" s="49">
        <v>4</v>
      </c>
      <c r="AO130" s="110">
        <v>28.571428571428573</v>
      </c>
      <c r="AP130" s="49">
        <v>14</v>
      </c>
    </row>
    <row r="131" spans="1:42" ht="15">
      <c r="A131" s="66" t="s">
        <v>350</v>
      </c>
      <c r="B131" s="66" t="s">
        <v>372</v>
      </c>
      <c r="C131" s="67" t="s">
        <v>404</v>
      </c>
      <c r="D131" s="68">
        <v>3</v>
      </c>
      <c r="E131" s="69"/>
      <c r="F131" s="70">
        <v>40</v>
      </c>
      <c r="G131" s="67"/>
      <c r="H131" s="71"/>
      <c r="I131" s="72"/>
      <c r="J131" s="72"/>
      <c r="K131" s="35" t="s">
        <v>65</v>
      </c>
      <c r="L131" s="80">
        <v>131</v>
      </c>
      <c r="M131" s="80"/>
      <c r="N131" s="74"/>
      <c r="O131" s="82" t="s">
        <v>406</v>
      </c>
      <c r="P131" s="82" t="s">
        <v>197</v>
      </c>
      <c r="Q131" s="82" t="s">
        <v>525</v>
      </c>
      <c r="R131" s="82" t="s">
        <v>350</v>
      </c>
      <c r="S131" s="82" t="s">
        <v>667</v>
      </c>
      <c r="T131" s="84" t="str">
        <f>HYPERLINK("http://www.youtube.com/channel/UCX-rsu7tL2MC2rXtP06PuZA")</f>
        <v>http://www.youtube.com/channel/UCX-rsu7tL2MC2rXtP06PuZA</v>
      </c>
      <c r="U131" s="82"/>
      <c r="V131" s="82" t="s">
        <v>705</v>
      </c>
      <c r="W131" s="84" t="str">
        <f>HYPERLINK("https://www.youtube.com/watch?v=OnEGLhO0ZkA")</f>
        <v>https://www.youtube.com/watch?v=OnEGLhO0ZkA</v>
      </c>
      <c r="X131" s="82" t="s">
        <v>735</v>
      </c>
      <c r="Y131" s="82">
        <v>2</v>
      </c>
      <c r="Z131" s="86">
        <v>43745.06601851852</v>
      </c>
      <c r="AA131" s="86">
        <v>43745.06601851852</v>
      </c>
      <c r="AB131" s="82"/>
      <c r="AC131" s="82"/>
      <c r="AD131" s="82"/>
      <c r="AE131" s="82">
        <v>1</v>
      </c>
      <c r="AF131" s="81">
        <v>1</v>
      </c>
      <c r="AG131" s="81">
        <v>1</v>
      </c>
      <c r="AH131" s="49">
        <v>4</v>
      </c>
      <c r="AI131" s="110">
        <v>8.333333333333334</v>
      </c>
      <c r="AJ131" s="49">
        <v>0</v>
      </c>
      <c r="AK131" s="50">
        <v>0</v>
      </c>
      <c r="AL131" s="49">
        <v>0</v>
      </c>
      <c r="AM131" s="50">
        <v>0</v>
      </c>
      <c r="AN131" s="49">
        <v>13</v>
      </c>
      <c r="AO131" s="110">
        <v>27.083333333333332</v>
      </c>
      <c r="AP131" s="49">
        <v>48</v>
      </c>
    </row>
    <row r="132" spans="1:42" ht="15">
      <c r="A132" s="66" t="s">
        <v>351</v>
      </c>
      <c r="B132" s="66" t="s">
        <v>372</v>
      </c>
      <c r="C132" s="67" t="s">
        <v>404</v>
      </c>
      <c r="D132" s="68">
        <v>3</v>
      </c>
      <c r="E132" s="69"/>
      <c r="F132" s="70">
        <v>40</v>
      </c>
      <c r="G132" s="67"/>
      <c r="H132" s="71"/>
      <c r="I132" s="72"/>
      <c r="J132" s="72"/>
      <c r="K132" s="35" t="s">
        <v>65</v>
      </c>
      <c r="L132" s="80">
        <v>132</v>
      </c>
      <c r="M132" s="80"/>
      <c r="N132" s="74"/>
      <c r="O132" s="82" t="s">
        <v>406</v>
      </c>
      <c r="P132" s="82" t="s">
        <v>197</v>
      </c>
      <c r="Q132" s="82" t="s">
        <v>526</v>
      </c>
      <c r="R132" s="82" t="s">
        <v>351</v>
      </c>
      <c r="S132" s="82" t="s">
        <v>668</v>
      </c>
      <c r="T132" s="84" t="str">
        <f>HYPERLINK("http://www.youtube.com/channel/UCYJEJH2oquLGc7OhuFpLZ6Q")</f>
        <v>http://www.youtube.com/channel/UCYJEJH2oquLGc7OhuFpLZ6Q</v>
      </c>
      <c r="U132" s="82"/>
      <c r="V132" s="82" t="s">
        <v>705</v>
      </c>
      <c r="W132" s="84" t="str">
        <f>HYPERLINK("https://www.youtube.com/watch?v=OnEGLhO0ZkA")</f>
        <v>https://www.youtube.com/watch?v=OnEGLhO0ZkA</v>
      </c>
      <c r="X132" s="82" t="s">
        <v>735</v>
      </c>
      <c r="Y132" s="82">
        <v>2</v>
      </c>
      <c r="Z132" s="86">
        <v>43745.09056712963</v>
      </c>
      <c r="AA132" s="86">
        <v>43745.09056712963</v>
      </c>
      <c r="AB132" s="82"/>
      <c r="AC132" s="82"/>
      <c r="AD132" s="82"/>
      <c r="AE132" s="82">
        <v>1</v>
      </c>
      <c r="AF132" s="81">
        <v>1</v>
      </c>
      <c r="AG132" s="81">
        <v>1</v>
      </c>
      <c r="AH132" s="49">
        <v>1</v>
      </c>
      <c r="AI132" s="50">
        <v>6.25</v>
      </c>
      <c r="AJ132" s="49">
        <v>1</v>
      </c>
      <c r="AK132" s="50">
        <v>6.25</v>
      </c>
      <c r="AL132" s="49">
        <v>0</v>
      </c>
      <c r="AM132" s="50">
        <v>0</v>
      </c>
      <c r="AN132" s="49">
        <v>3</v>
      </c>
      <c r="AO132" s="50">
        <v>18.75</v>
      </c>
      <c r="AP132" s="49">
        <v>16</v>
      </c>
    </row>
    <row r="133" spans="1:42" ht="15">
      <c r="A133" s="66" t="s">
        <v>352</v>
      </c>
      <c r="B133" s="66" t="s">
        <v>372</v>
      </c>
      <c r="C133" s="67" t="s">
        <v>1783</v>
      </c>
      <c r="D133" s="68">
        <v>3</v>
      </c>
      <c r="E133" s="69"/>
      <c r="F133" s="70">
        <v>40</v>
      </c>
      <c r="G133" s="67"/>
      <c r="H133" s="71"/>
      <c r="I133" s="72"/>
      <c r="J133" s="72"/>
      <c r="K133" s="35" t="s">
        <v>65</v>
      </c>
      <c r="L133" s="80">
        <v>133</v>
      </c>
      <c r="M133" s="80"/>
      <c r="N133" s="74"/>
      <c r="O133" s="82" t="s">
        <v>406</v>
      </c>
      <c r="P133" s="82" t="s">
        <v>197</v>
      </c>
      <c r="Q133" s="82" t="s">
        <v>527</v>
      </c>
      <c r="R133" s="82" t="s">
        <v>352</v>
      </c>
      <c r="S133" s="82" t="s">
        <v>669</v>
      </c>
      <c r="T133" s="84" t="str">
        <f>HYPERLINK("http://www.youtube.com/channel/UCMtWzzIWhCQTXluffXezc5A")</f>
        <v>http://www.youtube.com/channel/UCMtWzzIWhCQTXluffXezc5A</v>
      </c>
      <c r="U133" s="82"/>
      <c r="V133" s="82" t="s">
        <v>705</v>
      </c>
      <c r="W133" s="84" t="str">
        <f>HYPERLINK("https://www.youtube.com/watch?v=OnEGLhO0ZkA")</f>
        <v>https://www.youtube.com/watch?v=OnEGLhO0ZkA</v>
      </c>
      <c r="X133" s="82" t="s">
        <v>735</v>
      </c>
      <c r="Y133" s="82">
        <v>1</v>
      </c>
      <c r="Z133" s="86">
        <v>43745.09641203703</v>
      </c>
      <c r="AA133" s="86">
        <v>43745.09693287037</v>
      </c>
      <c r="AB133" s="82"/>
      <c r="AC133" s="82"/>
      <c r="AD133" s="82"/>
      <c r="AE133" s="82">
        <v>4</v>
      </c>
      <c r="AF133" s="81">
        <v>1</v>
      </c>
      <c r="AG133" s="81">
        <v>1</v>
      </c>
      <c r="AH133" s="49">
        <v>2</v>
      </c>
      <c r="AI133" s="110">
        <v>7.407407407407407</v>
      </c>
      <c r="AJ133" s="49">
        <v>0</v>
      </c>
      <c r="AK133" s="50">
        <v>0</v>
      </c>
      <c r="AL133" s="49">
        <v>0</v>
      </c>
      <c r="AM133" s="50">
        <v>0</v>
      </c>
      <c r="AN133" s="49">
        <v>7</v>
      </c>
      <c r="AO133" s="110">
        <v>25.925925925925927</v>
      </c>
      <c r="AP133" s="49">
        <v>27</v>
      </c>
    </row>
    <row r="134" spans="1:42" ht="15">
      <c r="A134" s="66" t="s">
        <v>353</v>
      </c>
      <c r="B134" s="66" t="s">
        <v>372</v>
      </c>
      <c r="C134" s="67" t="s">
        <v>404</v>
      </c>
      <c r="D134" s="68">
        <v>3</v>
      </c>
      <c r="E134" s="69"/>
      <c r="F134" s="70">
        <v>40</v>
      </c>
      <c r="G134" s="67"/>
      <c r="H134" s="71"/>
      <c r="I134" s="72"/>
      <c r="J134" s="72"/>
      <c r="K134" s="35" t="s">
        <v>65</v>
      </c>
      <c r="L134" s="80">
        <v>134</v>
      </c>
      <c r="M134" s="80"/>
      <c r="N134" s="74"/>
      <c r="O134" s="82" t="s">
        <v>406</v>
      </c>
      <c r="P134" s="82" t="s">
        <v>197</v>
      </c>
      <c r="Q134" s="82" t="s">
        <v>528</v>
      </c>
      <c r="R134" s="82" t="s">
        <v>353</v>
      </c>
      <c r="S134" s="82" t="s">
        <v>670</v>
      </c>
      <c r="T134" s="84" t="str">
        <f>HYPERLINK("http://www.youtube.com/channel/UCdPa1hLybim7XHwo38VsbYw")</f>
        <v>http://www.youtube.com/channel/UCdPa1hLybim7XHwo38VsbYw</v>
      </c>
      <c r="U134" s="82"/>
      <c r="V134" s="82" t="s">
        <v>705</v>
      </c>
      <c r="W134" s="84" t="str">
        <f>HYPERLINK("https://www.youtube.com/watch?v=OnEGLhO0ZkA")</f>
        <v>https://www.youtube.com/watch?v=OnEGLhO0ZkA</v>
      </c>
      <c r="X134" s="82" t="s">
        <v>735</v>
      </c>
      <c r="Y134" s="82">
        <v>0</v>
      </c>
      <c r="Z134" s="86">
        <v>43745.19113425926</v>
      </c>
      <c r="AA134" s="86">
        <v>43745.19113425926</v>
      </c>
      <c r="AB134" s="82"/>
      <c r="AC134" s="82"/>
      <c r="AD134" s="82"/>
      <c r="AE134" s="82">
        <v>1</v>
      </c>
      <c r="AF134" s="81">
        <v>1</v>
      </c>
      <c r="AG134" s="81">
        <v>1</v>
      </c>
      <c r="AH134" s="49">
        <v>2</v>
      </c>
      <c r="AI134" s="110">
        <v>66.66666666666667</v>
      </c>
      <c r="AJ134" s="49">
        <v>0</v>
      </c>
      <c r="AK134" s="50">
        <v>0</v>
      </c>
      <c r="AL134" s="49">
        <v>0</v>
      </c>
      <c r="AM134" s="50">
        <v>0</v>
      </c>
      <c r="AN134" s="49">
        <v>0</v>
      </c>
      <c r="AO134" s="50">
        <v>0</v>
      </c>
      <c r="AP134" s="49">
        <v>3</v>
      </c>
    </row>
    <row r="135" spans="1:42" ht="15">
      <c r="A135" s="66" t="s">
        <v>354</v>
      </c>
      <c r="B135" s="66" t="s">
        <v>372</v>
      </c>
      <c r="C135" s="67" t="s">
        <v>404</v>
      </c>
      <c r="D135" s="68">
        <v>3</v>
      </c>
      <c r="E135" s="69"/>
      <c r="F135" s="70">
        <v>40</v>
      </c>
      <c r="G135" s="67"/>
      <c r="H135" s="71"/>
      <c r="I135" s="72"/>
      <c r="J135" s="72"/>
      <c r="K135" s="35" t="s">
        <v>65</v>
      </c>
      <c r="L135" s="80">
        <v>135</v>
      </c>
      <c r="M135" s="80"/>
      <c r="N135" s="74"/>
      <c r="O135" s="82" t="s">
        <v>406</v>
      </c>
      <c r="P135" s="82" t="s">
        <v>197</v>
      </c>
      <c r="Q135" s="82" t="s">
        <v>529</v>
      </c>
      <c r="R135" s="82" t="s">
        <v>354</v>
      </c>
      <c r="S135" s="82" t="s">
        <v>671</v>
      </c>
      <c r="T135" s="84" t="str">
        <f>HYPERLINK("http://www.youtube.com/channel/UC3H22zDC6zESdN96sz_FBTw")</f>
        <v>http://www.youtube.com/channel/UC3H22zDC6zESdN96sz_FBTw</v>
      </c>
      <c r="U135" s="82"/>
      <c r="V135" s="82" t="s">
        <v>705</v>
      </c>
      <c r="W135" s="84" t="str">
        <f>HYPERLINK("https://www.youtube.com/watch?v=OnEGLhO0ZkA")</f>
        <v>https://www.youtube.com/watch?v=OnEGLhO0ZkA</v>
      </c>
      <c r="X135" s="82" t="s">
        <v>735</v>
      </c>
      <c r="Y135" s="82">
        <v>1</v>
      </c>
      <c r="Z135" s="86">
        <v>43745.22231481481</v>
      </c>
      <c r="AA135" s="86">
        <v>43745.22231481481</v>
      </c>
      <c r="AB135" s="82"/>
      <c r="AC135" s="82"/>
      <c r="AD135" s="82"/>
      <c r="AE135" s="82">
        <v>1</v>
      </c>
      <c r="AF135" s="81">
        <v>1</v>
      </c>
      <c r="AG135" s="81">
        <v>1</v>
      </c>
      <c r="AH135" s="49">
        <v>4</v>
      </c>
      <c r="AI135" s="110">
        <v>19.047619047619047</v>
      </c>
      <c r="AJ135" s="49">
        <v>0</v>
      </c>
      <c r="AK135" s="50">
        <v>0</v>
      </c>
      <c r="AL135" s="49">
        <v>0</v>
      </c>
      <c r="AM135" s="50">
        <v>0</v>
      </c>
      <c r="AN135" s="49">
        <v>5</v>
      </c>
      <c r="AO135" s="110">
        <v>23.80952380952381</v>
      </c>
      <c r="AP135" s="49">
        <v>21</v>
      </c>
    </row>
    <row r="136" spans="1:42" ht="15">
      <c r="A136" s="66" t="s">
        <v>355</v>
      </c>
      <c r="B136" s="66" t="s">
        <v>372</v>
      </c>
      <c r="C136" s="67" t="s">
        <v>404</v>
      </c>
      <c r="D136" s="68">
        <v>3</v>
      </c>
      <c r="E136" s="69"/>
      <c r="F136" s="70">
        <v>40</v>
      </c>
      <c r="G136" s="67"/>
      <c r="H136" s="71"/>
      <c r="I136" s="72"/>
      <c r="J136" s="72"/>
      <c r="K136" s="35" t="s">
        <v>65</v>
      </c>
      <c r="L136" s="80">
        <v>136</v>
      </c>
      <c r="M136" s="80"/>
      <c r="N136" s="74"/>
      <c r="O136" s="82" t="s">
        <v>406</v>
      </c>
      <c r="P136" s="82" t="s">
        <v>197</v>
      </c>
      <c r="Q136" s="82" t="s">
        <v>530</v>
      </c>
      <c r="R136" s="82" t="s">
        <v>355</v>
      </c>
      <c r="S136" s="82" t="s">
        <v>672</v>
      </c>
      <c r="T136" s="84" t="str">
        <f>HYPERLINK("http://www.youtube.com/channel/UCls5dO55jPdBcmsJ82Z0dSw")</f>
        <v>http://www.youtube.com/channel/UCls5dO55jPdBcmsJ82Z0dSw</v>
      </c>
      <c r="U136" s="82"/>
      <c r="V136" s="82" t="s">
        <v>705</v>
      </c>
      <c r="W136" s="84" t="str">
        <f>HYPERLINK("https://www.youtube.com/watch?v=OnEGLhO0ZkA")</f>
        <v>https://www.youtube.com/watch?v=OnEGLhO0ZkA</v>
      </c>
      <c r="X136" s="82" t="s">
        <v>735</v>
      </c>
      <c r="Y136" s="82">
        <v>2</v>
      </c>
      <c r="Z136" s="86">
        <v>43745.295752314814</v>
      </c>
      <c r="AA136" s="86">
        <v>43745.295752314814</v>
      </c>
      <c r="AB136" s="82"/>
      <c r="AC136" s="82"/>
      <c r="AD136" s="82"/>
      <c r="AE136" s="82">
        <v>1</v>
      </c>
      <c r="AF136" s="81">
        <v>1</v>
      </c>
      <c r="AG136" s="81">
        <v>1</v>
      </c>
      <c r="AH136" s="49">
        <v>1</v>
      </c>
      <c r="AI136" s="110">
        <v>2.3255813953488373</v>
      </c>
      <c r="AJ136" s="49">
        <v>2</v>
      </c>
      <c r="AK136" s="110">
        <v>4.651162790697675</v>
      </c>
      <c r="AL136" s="49">
        <v>0</v>
      </c>
      <c r="AM136" s="50">
        <v>0</v>
      </c>
      <c r="AN136" s="49">
        <v>11</v>
      </c>
      <c r="AO136" s="110">
        <v>25.58139534883721</v>
      </c>
      <c r="AP136" s="49">
        <v>43</v>
      </c>
    </row>
    <row r="137" spans="1:42" ht="15">
      <c r="A137" s="66" t="s">
        <v>356</v>
      </c>
      <c r="B137" s="66" t="s">
        <v>372</v>
      </c>
      <c r="C137" s="67" t="s">
        <v>404</v>
      </c>
      <c r="D137" s="68">
        <v>3</v>
      </c>
      <c r="E137" s="69"/>
      <c r="F137" s="70">
        <v>40</v>
      </c>
      <c r="G137" s="67"/>
      <c r="H137" s="71"/>
      <c r="I137" s="72"/>
      <c r="J137" s="72"/>
      <c r="K137" s="35" t="s">
        <v>65</v>
      </c>
      <c r="L137" s="80">
        <v>137</v>
      </c>
      <c r="M137" s="80"/>
      <c r="N137" s="74"/>
      <c r="O137" s="82" t="s">
        <v>406</v>
      </c>
      <c r="P137" s="82" t="s">
        <v>197</v>
      </c>
      <c r="Q137" s="82" t="s">
        <v>531</v>
      </c>
      <c r="R137" s="82" t="s">
        <v>356</v>
      </c>
      <c r="S137" s="82" t="s">
        <v>673</v>
      </c>
      <c r="T137" s="84" t="str">
        <f>HYPERLINK("http://www.youtube.com/channel/UC35jHN7lZNm5bbwDecwYOHw")</f>
        <v>http://www.youtube.com/channel/UC35jHN7lZNm5bbwDecwYOHw</v>
      </c>
      <c r="U137" s="82"/>
      <c r="V137" s="82" t="s">
        <v>705</v>
      </c>
      <c r="W137" s="84" t="str">
        <f>HYPERLINK("https://www.youtube.com/watch?v=OnEGLhO0ZkA")</f>
        <v>https://www.youtube.com/watch?v=OnEGLhO0ZkA</v>
      </c>
      <c r="X137" s="82" t="s">
        <v>735</v>
      </c>
      <c r="Y137" s="82">
        <v>0</v>
      </c>
      <c r="Z137" s="86">
        <v>43745.51931712963</v>
      </c>
      <c r="AA137" s="86">
        <v>43745.51931712963</v>
      </c>
      <c r="AB137" s="82"/>
      <c r="AC137" s="82"/>
      <c r="AD137" s="82"/>
      <c r="AE137" s="82">
        <v>1</v>
      </c>
      <c r="AF137" s="81">
        <v>1</v>
      </c>
      <c r="AG137" s="81">
        <v>1</v>
      </c>
      <c r="AH137" s="49">
        <v>1</v>
      </c>
      <c r="AI137" s="110">
        <v>11.11111111111111</v>
      </c>
      <c r="AJ137" s="49">
        <v>0</v>
      </c>
      <c r="AK137" s="50">
        <v>0</v>
      </c>
      <c r="AL137" s="49">
        <v>0</v>
      </c>
      <c r="AM137" s="50">
        <v>0</v>
      </c>
      <c r="AN137" s="49">
        <v>1</v>
      </c>
      <c r="AO137" s="110">
        <v>11.11111111111111</v>
      </c>
      <c r="AP137" s="49">
        <v>9</v>
      </c>
    </row>
    <row r="138" spans="1:42" ht="15">
      <c r="A138" s="66" t="s">
        <v>357</v>
      </c>
      <c r="B138" s="66" t="s">
        <v>372</v>
      </c>
      <c r="C138" s="67" t="s">
        <v>404</v>
      </c>
      <c r="D138" s="68">
        <v>3</v>
      </c>
      <c r="E138" s="69"/>
      <c r="F138" s="70">
        <v>40</v>
      </c>
      <c r="G138" s="67"/>
      <c r="H138" s="71"/>
      <c r="I138" s="72"/>
      <c r="J138" s="72"/>
      <c r="K138" s="35" t="s">
        <v>65</v>
      </c>
      <c r="L138" s="80">
        <v>138</v>
      </c>
      <c r="M138" s="80"/>
      <c r="N138" s="74"/>
      <c r="O138" s="82" t="s">
        <v>406</v>
      </c>
      <c r="P138" s="82" t="s">
        <v>197</v>
      </c>
      <c r="Q138" s="82" t="s">
        <v>532</v>
      </c>
      <c r="R138" s="82" t="s">
        <v>357</v>
      </c>
      <c r="S138" s="82" t="s">
        <v>674</v>
      </c>
      <c r="T138" s="84" t="str">
        <f>HYPERLINK("http://www.youtube.com/channel/UCJe-QaoJy1Z6USj1jqkHsxg")</f>
        <v>http://www.youtube.com/channel/UCJe-QaoJy1Z6USj1jqkHsxg</v>
      </c>
      <c r="U138" s="82"/>
      <c r="V138" s="82" t="s">
        <v>705</v>
      </c>
      <c r="W138" s="84" t="str">
        <f>HYPERLINK("https://www.youtube.com/watch?v=OnEGLhO0ZkA")</f>
        <v>https://www.youtube.com/watch?v=OnEGLhO0ZkA</v>
      </c>
      <c r="X138" s="82" t="s">
        <v>735</v>
      </c>
      <c r="Y138" s="82">
        <v>0</v>
      </c>
      <c r="Z138" s="86">
        <v>43745.560740740744</v>
      </c>
      <c r="AA138" s="86">
        <v>43745.56175925926</v>
      </c>
      <c r="AB138" s="82"/>
      <c r="AC138" s="82"/>
      <c r="AD138" s="82"/>
      <c r="AE138" s="82">
        <v>1</v>
      </c>
      <c r="AF138" s="81">
        <v>1</v>
      </c>
      <c r="AG138" s="81">
        <v>1</v>
      </c>
      <c r="AH138" s="49">
        <v>6</v>
      </c>
      <c r="AI138" s="110">
        <v>8.823529411764707</v>
      </c>
      <c r="AJ138" s="49">
        <v>0</v>
      </c>
      <c r="AK138" s="50">
        <v>0</v>
      </c>
      <c r="AL138" s="49">
        <v>0</v>
      </c>
      <c r="AM138" s="50">
        <v>0</v>
      </c>
      <c r="AN138" s="49">
        <v>27</v>
      </c>
      <c r="AO138" s="110">
        <v>39.705882352941174</v>
      </c>
      <c r="AP138" s="49">
        <v>68</v>
      </c>
    </row>
    <row r="139" spans="1:42" ht="15">
      <c r="A139" s="66" t="s">
        <v>358</v>
      </c>
      <c r="B139" s="66" t="s">
        <v>372</v>
      </c>
      <c r="C139" s="67" t="s">
        <v>404</v>
      </c>
      <c r="D139" s="68">
        <v>3</v>
      </c>
      <c r="E139" s="69"/>
      <c r="F139" s="70">
        <v>40</v>
      </c>
      <c r="G139" s="67"/>
      <c r="H139" s="71"/>
      <c r="I139" s="72"/>
      <c r="J139" s="72"/>
      <c r="K139" s="35" t="s">
        <v>65</v>
      </c>
      <c r="L139" s="80">
        <v>139</v>
      </c>
      <c r="M139" s="80"/>
      <c r="N139" s="74"/>
      <c r="O139" s="82" t="s">
        <v>406</v>
      </c>
      <c r="P139" s="82" t="s">
        <v>197</v>
      </c>
      <c r="Q139" s="82" t="s">
        <v>533</v>
      </c>
      <c r="R139" s="82" t="s">
        <v>358</v>
      </c>
      <c r="S139" s="82" t="s">
        <v>675</v>
      </c>
      <c r="T139" s="84" t="str">
        <f>HYPERLINK("http://www.youtube.com/channel/UCQ5YrWroyp2APoRpa-2Zr1g")</f>
        <v>http://www.youtube.com/channel/UCQ5YrWroyp2APoRpa-2Zr1g</v>
      </c>
      <c r="U139" s="82"/>
      <c r="V139" s="82" t="s">
        <v>705</v>
      </c>
      <c r="W139" s="84" t="str">
        <f>HYPERLINK("https://www.youtube.com/watch?v=OnEGLhO0ZkA")</f>
        <v>https://www.youtube.com/watch?v=OnEGLhO0ZkA</v>
      </c>
      <c r="X139" s="82" t="s">
        <v>735</v>
      </c>
      <c r="Y139" s="82">
        <v>0</v>
      </c>
      <c r="Z139" s="86">
        <v>43745.635462962964</v>
      </c>
      <c r="AA139" s="86">
        <v>43745.635462962964</v>
      </c>
      <c r="AB139" s="82"/>
      <c r="AC139" s="82"/>
      <c r="AD139" s="82"/>
      <c r="AE139" s="82">
        <v>1</v>
      </c>
      <c r="AF139" s="81">
        <v>1</v>
      </c>
      <c r="AG139" s="81">
        <v>1</v>
      </c>
      <c r="AH139" s="49">
        <v>1</v>
      </c>
      <c r="AI139" s="110">
        <v>4.761904761904762</v>
      </c>
      <c r="AJ139" s="49">
        <v>0</v>
      </c>
      <c r="AK139" s="50">
        <v>0</v>
      </c>
      <c r="AL139" s="49">
        <v>0</v>
      </c>
      <c r="AM139" s="50">
        <v>0</v>
      </c>
      <c r="AN139" s="49">
        <v>10</v>
      </c>
      <c r="AO139" s="110">
        <v>47.61904761904762</v>
      </c>
      <c r="AP139" s="49">
        <v>21</v>
      </c>
    </row>
    <row r="140" spans="1:42" ht="15">
      <c r="A140" s="66" t="s">
        <v>359</v>
      </c>
      <c r="B140" s="66" t="s">
        <v>372</v>
      </c>
      <c r="C140" s="67" t="s">
        <v>404</v>
      </c>
      <c r="D140" s="68">
        <v>3</v>
      </c>
      <c r="E140" s="69"/>
      <c r="F140" s="70">
        <v>40</v>
      </c>
      <c r="G140" s="67"/>
      <c r="H140" s="71"/>
      <c r="I140" s="72"/>
      <c r="J140" s="72"/>
      <c r="K140" s="35" t="s">
        <v>65</v>
      </c>
      <c r="L140" s="80">
        <v>140</v>
      </c>
      <c r="M140" s="80"/>
      <c r="N140" s="74"/>
      <c r="O140" s="82" t="s">
        <v>406</v>
      </c>
      <c r="P140" s="82" t="s">
        <v>197</v>
      </c>
      <c r="Q140" s="82" t="s">
        <v>534</v>
      </c>
      <c r="R140" s="82" t="s">
        <v>359</v>
      </c>
      <c r="S140" s="82" t="s">
        <v>676</v>
      </c>
      <c r="T140" s="84" t="str">
        <f>HYPERLINK("http://www.youtube.com/channel/UCYpwE_ZWp_d1juqu_l7B6tA")</f>
        <v>http://www.youtube.com/channel/UCYpwE_ZWp_d1juqu_l7B6tA</v>
      </c>
      <c r="U140" s="82"/>
      <c r="V140" s="82" t="s">
        <v>705</v>
      </c>
      <c r="W140" s="84" t="str">
        <f>HYPERLINK("https://www.youtube.com/watch?v=OnEGLhO0ZkA")</f>
        <v>https://www.youtube.com/watch?v=OnEGLhO0ZkA</v>
      </c>
      <c r="X140" s="82" t="s">
        <v>735</v>
      </c>
      <c r="Y140" s="82">
        <v>4</v>
      </c>
      <c r="Z140" s="86">
        <v>43746.12583333333</v>
      </c>
      <c r="AA140" s="86">
        <v>43746.12583333333</v>
      </c>
      <c r="AB140" s="82"/>
      <c r="AC140" s="82"/>
      <c r="AD140" s="82"/>
      <c r="AE140" s="82">
        <v>1</v>
      </c>
      <c r="AF140" s="81">
        <v>1</v>
      </c>
      <c r="AG140" s="81">
        <v>1</v>
      </c>
      <c r="AH140" s="49">
        <v>1</v>
      </c>
      <c r="AI140" s="110">
        <v>1.9607843137254901</v>
      </c>
      <c r="AJ140" s="49">
        <v>0</v>
      </c>
      <c r="AK140" s="50">
        <v>0</v>
      </c>
      <c r="AL140" s="49">
        <v>0</v>
      </c>
      <c r="AM140" s="50">
        <v>0</v>
      </c>
      <c r="AN140" s="49">
        <v>11</v>
      </c>
      <c r="AO140" s="110">
        <v>21.568627450980394</v>
      </c>
      <c r="AP140" s="49">
        <v>51</v>
      </c>
    </row>
    <row r="141" spans="1:42" ht="15">
      <c r="A141" s="66" t="s">
        <v>360</v>
      </c>
      <c r="B141" s="66" t="s">
        <v>372</v>
      </c>
      <c r="C141" s="67" t="s">
        <v>404</v>
      </c>
      <c r="D141" s="68">
        <v>3</v>
      </c>
      <c r="E141" s="69"/>
      <c r="F141" s="70">
        <v>40</v>
      </c>
      <c r="G141" s="67"/>
      <c r="H141" s="71"/>
      <c r="I141" s="72"/>
      <c r="J141" s="72"/>
      <c r="K141" s="35" t="s">
        <v>65</v>
      </c>
      <c r="L141" s="80">
        <v>141</v>
      </c>
      <c r="M141" s="80"/>
      <c r="N141" s="74"/>
      <c r="O141" s="82" t="s">
        <v>406</v>
      </c>
      <c r="P141" s="82" t="s">
        <v>197</v>
      </c>
      <c r="Q141" s="82" t="s">
        <v>535</v>
      </c>
      <c r="R141" s="82" t="s">
        <v>360</v>
      </c>
      <c r="S141" s="82" t="s">
        <v>677</v>
      </c>
      <c r="T141" s="84" t="str">
        <f>HYPERLINK("http://www.youtube.com/channel/UCMmB-QL7OjIj3E4q0q4qUrA")</f>
        <v>http://www.youtube.com/channel/UCMmB-QL7OjIj3E4q0q4qUrA</v>
      </c>
      <c r="U141" s="82"/>
      <c r="V141" s="82" t="s">
        <v>705</v>
      </c>
      <c r="W141" s="84" t="str">
        <f>HYPERLINK("https://www.youtube.com/watch?v=OnEGLhO0ZkA")</f>
        <v>https://www.youtube.com/watch?v=OnEGLhO0ZkA</v>
      </c>
      <c r="X141" s="82" t="s">
        <v>735</v>
      </c>
      <c r="Y141" s="82">
        <v>0</v>
      </c>
      <c r="Z141" s="86">
        <v>43746.20465277778</v>
      </c>
      <c r="AA141" s="86">
        <v>43746.20465277778</v>
      </c>
      <c r="AB141" s="82"/>
      <c r="AC141" s="82"/>
      <c r="AD141" s="82"/>
      <c r="AE141" s="82">
        <v>1</v>
      </c>
      <c r="AF141" s="81">
        <v>1</v>
      </c>
      <c r="AG141" s="81">
        <v>1</v>
      </c>
      <c r="AH141" s="49">
        <v>0</v>
      </c>
      <c r="AI141" s="50">
        <v>0</v>
      </c>
      <c r="AJ141" s="49">
        <v>0</v>
      </c>
      <c r="AK141" s="50">
        <v>0</v>
      </c>
      <c r="AL141" s="49">
        <v>0</v>
      </c>
      <c r="AM141" s="50">
        <v>0</v>
      </c>
      <c r="AN141" s="49">
        <v>3</v>
      </c>
      <c r="AO141" s="50">
        <v>50</v>
      </c>
      <c r="AP141" s="49">
        <v>6</v>
      </c>
    </row>
    <row r="142" spans="1:42" ht="15">
      <c r="A142" s="66" t="s">
        <v>361</v>
      </c>
      <c r="B142" s="66" t="s">
        <v>372</v>
      </c>
      <c r="C142" s="67" t="s">
        <v>404</v>
      </c>
      <c r="D142" s="68">
        <v>3</v>
      </c>
      <c r="E142" s="69"/>
      <c r="F142" s="70">
        <v>40</v>
      </c>
      <c r="G142" s="67"/>
      <c r="H142" s="71"/>
      <c r="I142" s="72"/>
      <c r="J142" s="72"/>
      <c r="K142" s="35" t="s">
        <v>65</v>
      </c>
      <c r="L142" s="80">
        <v>142</v>
      </c>
      <c r="M142" s="80"/>
      <c r="N142" s="74"/>
      <c r="O142" s="82" t="s">
        <v>406</v>
      </c>
      <c r="P142" s="82" t="s">
        <v>197</v>
      </c>
      <c r="Q142" s="82" t="s">
        <v>536</v>
      </c>
      <c r="R142" s="82" t="s">
        <v>361</v>
      </c>
      <c r="S142" s="82" t="s">
        <v>678</v>
      </c>
      <c r="T142" s="84" t="str">
        <f>HYPERLINK("http://www.youtube.com/channel/UCwx5DtPIzTU8mD7GVPGj6xw")</f>
        <v>http://www.youtube.com/channel/UCwx5DtPIzTU8mD7GVPGj6xw</v>
      </c>
      <c r="U142" s="82"/>
      <c r="V142" s="82" t="s">
        <v>705</v>
      </c>
      <c r="W142" s="84" t="str">
        <f>HYPERLINK("https://www.youtube.com/watch?v=OnEGLhO0ZkA")</f>
        <v>https://www.youtube.com/watch?v=OnEGLhO0ZkA</v>
      </c>
      <c r="X142" s="82" t="s">
        <v>735</v>
      </c>
      <c r="Y142" s="82">
        <v>0</v>
      </c>
      <c r="Z142" s="86">
        <v>43746.74118055555</v>
      </c>
      <c r="AA142" s="86">
        <v>43746.74118055555</v>
      </c>
      <c r="AB142" s="82"/>
      <c r="AC142" s="82"/>
      <c r="AD142" s="82"/>
      <c r="AE142" s="82">
        <v>1</v>
      </c>
      <c r="AF142" s="81">
        <v>1</v>
      </c>
      <c r="AG142" s="81">
        <v>1</v>
      </c>
      <c r="AH142" s="49">
        <v>1</v>
      </c>
      <c r="AI142" s="110">
        <v>7.6923076923076925</v>
      </c>
      <c r="AJ142" s="49">
        <v>0</v>
      </c>
      <c r="AK142" s="50">
        <v>0</v>
      </c>
      <c r="AL142" s="49">
        <v>0</v>
      </c>
      <c r="AM142" s="50">
        <v>0</v>
      </c>
      <c r="AN142" s="49">
        <v>6</v>
      </c>
      <c r="AO142" s="110">
        <v>46.15384615384615</v>
      </c>
      <c r="AP142" s="49">
        <v>13</v>
      </c>
    </row>
    <row r="143" spans="1:42" ht="15">
      <c r="A143" s="66" t="s">
        <v>362</v>
      </c>
      <c r="B143" s="66" t="s">
        <v>372</v>
      </c>
      <c r="C143" s="67" t="s">
        <v>404</v>
      </c>
      <c r="D143" s="68">
        <v>3</v>
      </c>
      <c r="E143" s="69"/>
      <c r="F143" s="70">
        <v>40</v>
      </c>
      <c r="G143" s="67"/>
      <c r="H143" s="71"/>
      <c r="I143" s="72"/>
      <c r="J143" s="72"/>
      <c r="K143" s="35" t="s">
        <v>65</v>
      </c>
      <c r="L143" s="80">
        <v>143</v>
      </c>
      <c r="M143" s="80"/>
      <c r="N143" s="74"/>
      <c r="O143" s="82" t="s">
        <v>406</v>
      </c>
      <c r="P143" s="82" t="s">
        <v>197</v>
      </c>
      <c r="Q143" s="82" t="s">
        <v>537</v>
      </c>
      <c r="R143" s="82" t="s">
        <v>362</v>
      </c>
      <c r="S143" s="82" t="s">
        <v>679</v>
      </c>
      <c r="T143" s="84" t="str">
        <f>HYPERLINK("http://www.youtube.com/channel/UCAEVSxRog9de2XxDsE-TENg")</f>
        <v>http://www.youtube.com/channel/UCAEVSxRog9de2XxDsE-TENg</v>
      </c>
      <c r="U143" s="82"/>
      <c r="V143" s="82" t="s">
        <v>705</v>
      </c>
      <c r="W143" s="84" t="str">
        <f>HYPERLINK("https://www.youtube.com/watch?v=OnEGLhO0ZkA")</f>
        <v>https://www.youtube.com/watch?v=OnEGLhO0ZkA</v>
      </c>
      <c r="X143" s="82" t="s">
        <v>735</v>
      </c>
      <c r="Y143" s="82">
        <v>0</v>
      </c>
      <c r="Z143" s="86">
        <v>43747.11503472222</v>
      </c>
      <c r="AA143" s="86">
        <v>43747.11503472222</v>
      </c>
      <c r="AB143" s="82"/>
      <c r="AC143" s="82"/>
      <c r="AD143" s="82"/>
      <c r="AE143" s="82">
        <v>1</v>
      </c>
      <c r="AF143" s="81">
        <v>1</v>
      </c>
      <c r="AG143" s="81">
        <v>1</v>
      </c>
      <c r="AH143" s="49">
        <v>3</v>
      </c>
      <c r="AI143" s="110">
        <v>13.043478260869565</v>
      </c>
      <c r="AJ143" s="49">
        <v>0</v>
      </c>
      <c r="AK143" s="50">
        <v>0</v>
      </c>
      <c r="AL143" s="49">
        <v>0</v>
      </c>
      <c r="AM143" s="50">
        <v>0</v>
      </c>
      <c r="AN143" s="49">
        <v>3</v>
      </c>
      <c r="AO143" s="110">
        <v>13.043478260869565</v>
      </c>
      <c r="AP143" s="49">
        <v>23</v>
      </c>
    </row>
    <row r="144" spans="1:42" ht="15">
      <c r="A144" s="66" t="s">
        <v>363</v>
      </c>
      <c r="B144" s="66" t="s">
        <v>372</v>
      </c>
      <c r="C144" s="67" t="s">
        <v>404</v>
      </c>
      <c r="D144" s="68">
        <v>3</v>
      </c>
      <c r="E144" s="69"/>
      <c r="F144" s="70">
        <v>40</v>
      </c>
      <c r="G144" s="67"/>
      <c r="H144" s="71"/>
      <c r="I144" s="72"/>
      <c r="J144" s="72"/>
      <c r="K144" s="35" t="s">
        <v>65</v>
      </c>
      <c r="L144" s="80">
        <v>144</v>
      </c>
      <c r="M144" s="80"/>
      <c r="N144" s="74"/>
      <c r="O144" s="82" t="s">
        <v>406</v>
      </c>
      <c r="P144" s="82" t="s">
        <v>197</v>
      </c>
      <c r="Q144" s="82" t="s">
        <v>538</v>
      </c>
      <c r="R144" s="82" t="s">
        <v>363</v>
      </c>
      <c r="S144" s="82" t="s">
        <v>680</v>
      </c>
      <c r="T144" s="84" t="str">
        <f>HYPERLINK("http://www.youtube.com/channel/UC-JfCXqVFa0u1a9npkncseg")</f>
        <v>http://www.youtube.com/channel/UC-JfCXqVFa0u1a9npkncseg</v>
      </c>
      <c r="U144" s="82"/>
      <c r="V144" s="82" t="s">
        <v>705</v>
      </c>
      <c r="W144" s="84" t="str">
        <f>HYPERLINK("https://www.youtube.com/watch?v=OnEGLhO0ZkA")</f>
        <v>https://www.youtube.com/watch?v=OnEGLhO0ZkA</v>
      </c>
      <c r="X144" s="82" t="s">
        <v>735</v>
      </c>
      <c r="Y144" s="82">
        <v>0</v>
      </c>
      <c r="Z144" s="86">
        <v>43747.44096064815</v>
      </c>
      <c r="AA144" s="86">
        <v>43747.44096064815</v>
      </c>
      <c r="AB144" s="82"/>
      <c r="AC144" s="82"/>
      <c r="AD144" s="82"/>
      <c r="AE144" s="82">
        <v>1</v>
      </c>
      <c r="AF144" s="81">
        <v>1</v>
      </c>
      <c r="AG144" s="81">
        <v>1</v>
      </c>
      <c r="AH144" s="49">
        <v>1</v>
      </c>
      <c r="AI144" s="110">
        <v>9.090909090909092</v>
      </c>
      <c r="AJ144" s="49">
        <v>0</v>
      </c>
      <c r="AK144" s="50">
        <v>0</v>
      </c>
      <c r="AL144" s="49">
        <v>0</v>
      </c>
      <c r="AM144" s="50">
        <v>0</v>
      </c>
      <c r="AN144" s="49">
        <v>5</v>
      </c>
      <c r="AO144" s="110">
        <v>45.45454545454545</v>
      </c>
      <c r="AP144" s="49">
        <v>11</v>
      </c>
    </row>
    <row r="145" spans="1:42" ht="15">
      <c r="A145" s="66" t="s">
        <v>364</v>
      </c>
      <c r="B145" s="66" t="s">
        <v>372</v>
      </c>
      <c r="C145" s="67" t="s">
        <v>404</v>
      </c>
      <c r="D145" s="68">
        <v>3</v>
      </c>
      <c r="E145" s="69"/>
      <c r="F145" s="70">
        <v>40</v>
      </c>
      <c r="G145" s="67"/>
      <c r="H145" s="71"/>
      <c r="I145" s="72"/>
      <c r="J145" s="72"/>
      <c r="K145" s="35" t="s">
        <v>65</v>
      </c>
      <c r="L145" s="80">
        <v>145</v>
      </c>
      <c r="M145" s="80"/>
      <c r="N145" s="74"/>
      <c r="O145" s="82" t="s">
        <v>406</v>
      </c>
      <c r="P145" s="82" t="s">
        <v>197</v>
      </c>
      <c r="Q145" s="82" t="s">
        <v>539</v>
      </c>
      <c r="R145" s="82" t="s">
        <v>364</v>
      </c>
      <c r="S145" s="82" t="s">
        <v>681</v>
      </c>
      <c r="T145" s="84" t="str">
        <f>HYPERLINK("http://www.youtube.com/channel/UCWmoyW5UdMXu3iC4uFd3lNg")</f>
        <v>http://www.youtube.com/channel/UCWmoyW5UdMXu3iC4uFd3lNg</v>
      </c>
      <c r="U145" s="82"/>
      <c r="V145" s="82" t="s">
        <v>705</v>
      </c>
      <c r="W145" s="84" t="str">
        <f>HYPERLINK("https://www.youtube.com/watch?v=OnEGLhO0ZkA")</f>
        <v>https://www.youtube.com/watch?v=OnEGLhO0ZkA</v>
      </c>
      <c r="X145" s="82" t="s">
        <v>735</v>
      </c>
      <c r="Y145" s="82">
        <v>0</v>
      </c>
      <c r="Z145" s="86">
        <v>43748.11146990741</v>
      </c>
      <c r="AA145" s="86">
        <v>43748.11146990741</v>
      </c>
      <c r="AB145" s="82"/>
      <c r="AC145" s="82"/>
      <c r="AD145" s="82"/>
      <c r="AE145" s="82">
        <v>1</v>
      </c>
      <c r="AF145" s="81">
        <v>1</v>
      </c>
      <c r="AG145" s="81">
        <v>1</v>
      </c>
      <c r="AH145" s="49">
        <v>5</v>
      </c>
      <c r="AI145" s="110">
        <v>7.042253521126761</v>
      </c>
      <c r="AJ145" s="49">
        <v>5</v>
      </c>
      <c r="AK145" s="110">
        <v>7.042253521126761</v>
      </c>
      <c r="AL145" s="49">
        <v>0</v>
      </c>
      <c r="AM145" s="50">
        <v>0</v>
      </c>
      <c r="AN145" s="49">
        <v>18</v>
      </c>
      <c r="AO145" s="110">
        <v>25.35211267605634</v>
      </c>
      <c r="AP145" s="49">
        <v>71</v>
      </c>
    </row>
    <row r="146" spans="1:42" ht="15">
      <c r="A146" s="66" t="s">
        <v>365</v>
      </c>
      <c r="B146" s="66" t="s">
        <v>372</v>
      </c>
      <c r="C146" s="67" t="s">
        <v>404</v>
      </c>
      <c r="D146" s="68">
        <v>3</v>
      </c>
      <c r="E146" s="69"/>
      <c r="F146" s="70">
        <v>40</v>
      </c>
      <c r="G146" s="67"/>
      <c r="H146" s="71"/>
      <c r="I146" s="72"/>
      <c r="J146" s="72"/>
      <c r="K146" s="35" t="s">
        <v>65</v>
      </c>
      <c r="L146" s="80">
        <v>146</v>
      </c>
      <c r="M146" s="80"/>
      <c r="N146" s="74"/>
      <c r="O146" s="82" t="s">
        <v>406</v>
      </c>
      <c r="P146" s="82" t="s">
        <v>197</v>
      </c>
      <c r="Q146" s="82" t="s">
        <v>540</v>
      </c>
      <c r="R146" s="82" t="s">
        <v>365</v>
      </c>
      <c r="S146" s="82" t="s">
        <v>682</v>
      </c>
      <c r="T146" s="84" t="str">
        <f>HYPERLINK("http://www.youtube.com/channel/UCVxHoKmb3caNsK62i08t6jA")</f>
        <v>http://www.youtube.com/channel/UCVxHoKmb3caNsK62i08t6jA</v>
      </c>
      <c r="U146" s="82"/>
      <c r="V146" s="82" t="s">
        <v>705</v>
      </c>
      <c r="W146" s="84" t="str">
        <f>HYPERLINK("https://www.youtube.com/watch?v=OnEGLhO0ZkA")</f>
        <v>https://www.youtube.com/watch?v=OnEGLhO0ZkA</v>
      </c>
      <c r="X146" s="82" t="s">
        <v>735</v>
      </c>
      <c r="Y146" s="82">
        <v>0</v>
      </c>
      <c r="Z146" s="86">
        <v>43749.98711805556</v>
      </c>
      <c r="AA146" s="86">
        <v>43749.98711805556</v>
      </c>
      <c r="AB146" s="82"/>
      <c r="AC146" s="82"/>
      <c r="AD146" s="82"/>
      <c r="AE146" s="82">
        <v>1</v>
      </c>
      <c r="AF146" s="81">
        <v>1</v>
      </c>
      <c r="AG146" s="81">
        <v>1</v>
      </c>
      <c r="AH146" s="49">
        <v>1</v>
      </c>
      <c r="AI146" s="110">
        <v>3.225806451612903</v>
      </c>
      <c r="AJ146" s="49">
        <v>0</v>
      </c>
      <c r="AK146" s="50">
        <v>0</v>
      </c>
      <c r="AL146" s="49">
        <v>0</v>
      </c>
      <c r="AM146" s="50">
        <v>0</v>
      </c>
      <c r="AN146" s="49">
        <v>9</v>
      </c>
      <c r="AO146" s="110">
        <v>29.032258064516128</v>
      </c>
      <c r="AP146" s="49">
        <v>31</v>
      </c>
    </row>
    <row r="147" spans="1:42" ht="15">
      <c r="A147" s="66" t="s">
        <v>366</v>
      </c>
      <c r="B147" s="66" t="s">
        <v>372</v>
      </c>
      <c r="C147" s="67" t="s">
        <v>404</v>
      </c>
      <c r="D147" s="68">
        <v>3</v>
      </c>
      <c r="E147" s="69"/>
      <c r="F147" s="70">
        <v>40</v>
      </c>
      <c r="G147" s="67"/>
      <c r="H147" s="71"/>
      <c r="I147" s="72"/>
      <c r="J147" s="72"/>
      <c r="K147" s="35" t="s">
        <v>65</v>
      </c>
      <c r="L147" s="80">
        <v>147</v>
      </c>
      <c r="M147" s="80"/>
      <c r="N147" s="74"/>
      <c r="O147" s="82" t="s">
        <v>406</v>
      </c>
      <c r="P147" s="82" t="s">
        <v>197</v>
      </c>
      <c r="Q147" s="82" t="s">
        <v>541</v>
      </c>
      <c r="R147" s="82" t="s">
        <v>366</v>
      </c>
      <c r="S147" s="82" t="s">
        <v>683</v>
      </c>
      <c r="T147" s="84" t="str">
        <f>HYPERLINK("http://www.youtube.com/channel/UCDfWr6zw8JXvAbT19m2lxfA")</f>
        <v>http://www.youtube.com/channel/UCDfWr6zw8JXvAbT19m2lxfA</v>
      </c>
      <c r="U147" s="82"/>
      <c r="V147" s="82" t="s">
        <v>705</v>
      </c>
      <c r="W147" s="84" t="str">
        <f>HYPERLINK("https://www.youtube.com/watch?v=OnEGLhO0ZkA")</f>
        <v>https://www.youtube.com/watch?v=OnEGLhO0ZkA</v>
      </c>
      <c r="X147" s="82" t="s">
        <v>735</v>
      </c>
      <c r="Y147" s="82">
        <v>0</v>
      </c>
      <c r="Z147" s="86">
        <v>43750.65895833333</v>
      </c>
      <c r="AA147" s="86">
        <v>43750.65895833333</v>
      </c>
      <c r="AB147" s="82"/>
      <c r="AC147" s="82"/>
      <c r="AD147" s="82"/>
      <c r="AE147" s="82">
        <v>1</v>
      </c>
      <c r="AF147" s="81">
        <v>1</v>
      </c>
      <c r="AG147" s="81">
        <v>1</v>
      </c>
      <c r="AH147" s="49">
        <v>1</v>
      </c>
      <c r="AI147" s="110">
        <v>33.333333333333336</v>
      </c>
      <c r="AJ147" s="49">
        <v>0</v>
      </c>
      <c r="AK147" s="50">
        <v>0</v>
      </c>
      <c r="AL147" s="49">
        <v>0</v>
      </c>
      <c r="AM147" s="50">
        <v>0</v>
      </c>
      <c r="AN147" s="49">
        <v>0</v>
      </c>
      <c r="AO147" s="50">
        <v>0</v>
      </c>
      <c r="AP147" s="49">
        <v>3</v>
      </c>
    </row>
    <row r="148" spans="1:42" ht="15">
      <c r="A148" s="66" t="s">
        <v>367</v>
      </c>
      <c r="B148" s="66" t="s">
        <v>372</v>
      </c>
      <c r="C148" s="67" t="s">
        <v>404</v>
      </c>
      <c r="D148" s="68">
        <v>3</v>
      </c>
      <c r="E148" s="69"/>
      <c r="F148" s="70">
        <v>40</v>
      </c>
      <c r="G148" s="67"/>
      <c r="H148" s="71"/>
      <c r="I148" s="72"/>
      <c r="J148" s="72"/>
      <c r="K148" s="35" t="s">
        <v>65</v>
      </c>
      <c r="L148" s="80">
        <v>148</v>
      </c>
      <c r="M148" s="80"/>
      <c r="N148" s="74"/>
      <c r="O148" s="82" t="s">
        <v>406</v>
      </c>
      <c r="P148" s="82" t="s">
        <v>197</v>
      </c>
      <c r="Q148" s="82" t="s">
        <v>542</v>
      </c>
      <c r="R148" s="82" t="s">
        <v>367</v>
      </c>
      <c r="S148" s="82" t="s">
        <v>684</v>
      </c>
      <c r="T148" s="84" t="str">
        <f>HYPERLINK("http://www.youtube.com/channel/UCPA1ozsJSo6nat5Ge_lPAoQ")</f>
        <v>http://www.youtube.com/channel/UCPA1ozsJSo6nat5Ge_lPAoQ</v>
      </c>
      <c r="U148" s="82"/>
      <c r="V148" s="82" t="s">
        <v>705</v>
      </c>
      <c r="W148" s="84" t="str">
        <f>HYPERLINK("https://www.youtube.com/watch?v=OnEGLhO0ZkA")</f>
        <v>https://www.youtube.com/watch?v=OnEGLhO0ZkA</v>
      </c>
      <c r="X148" s="82" t="s">
        <v>735</v>
      </c>
      <c r="Y148" s="82">
        <v>0</v>
      </c>
      <c r="Z148" s="86">
        <v>43753.857766203706</v>
      </c>
      <c r="AA148" s="86">
        <v>43753.857766203706</v>
      </c>
      <c r="AB148" s="82"/>
      <c r="AC148" s="82"/>
      <c r="AD148" s="82"/>
      <c r="AE148" s="82">
        <v>1</v>
      </c>
      <c r="AF148" s="81">
        <v>1</v>
      </c>
      <c r="AG148" s="81">
        <v>1</v>
      </c>
      <c r="AH148" s="49">
        <v>2</v>
      </c>
      <c r="AI148" s="110">
        <v>2.6315789473684212</v>
      </c>
      <c r="AJ148" s="49">
        <v>1</v>
      </c>
      <c r="AK148" s="110">
        <v>1.3157894736842106</v>
      </c>
      <c r="AL148" s="49">
        <v>0</v>
      </c>
      <c r="AM148" s="50">
        <v>0</v>
      </c>
      <c r="AN148" s="49">
        <v>22</v>
      </c>
      <c r="AO148" s="110">
        <v>28.94736842105263</v>
      </c>
      <c r="AP148" s="49">
        <v>76</v>
      </c>
    </row>
    <row r="149" spans="1:42" ht="15">
      <c r="A149" s="66" t="s">
        <v>368</v>
      </c>
      <c r="B149" s="66" t="s">
        <v>372</v>
      </c>
      <c r="C149" s="67" t="s">
        <v>404</v>
      </c>
      <c r="D149" s="68">
        <v>3</v>
      </c>
      <c r="E149" s="69"/>
      <c r="F149" s="70">
        <v>40</v>
      </c>
      <c r="G149" s="67"/>
      <c r="H149" s="71"/>
      <c r="I149" s="72"/>
      <c r="J149" s="72"/>
      <c r="K149" s="35" t="s">
        <v>65</v>
      </c>
      <c r="L149" s="80">
        <v>149</v>
      </c>
      <c r="M149" s="80"/>
      <c r="N149" s="74"/>
      <c r="O149" s="82" t="s">
        <v>406</v>
      </c>
      <c r="P149" s="82" t="s">
        <v>197</v>
      </c>
      <c r="Q149" s="82" t="s">
        <v>543</v>
      </c>
      <c r="R149" s="82" t="s">
        <v>368</v>
      </c>
      <c r="S149" s="82" t="s">
        <v>685</v>
      </c>
      <c r="T149" s="84" t="str">
        <f>HYPERLINK("http://www.youtube.com/channel/UCD9Q7qkG0ReL5AVJNk_N0DQ")</f>
        <v>http://www.youtube.com/channel/UCD9Q7qkG0ReL5AVJNk_N0DQ</v>
      </c>
      <c r="U149" s="82"/>
      <c r="V149" s="82" t="s">
        <v>705</v>
      </c>
      <c r="W149" s="84" t="str">
        <f>HYPERLINK("https://www.youtube.com/watch?v=OnEGLhO0ZkA")</f>
        <v>https://www.youtube.com/watch?v=OnEGLhO0ZkA</v>
      </c>
      <c r="X149" s="82" t="s">
        <v>735</v>
      </c>
      <c r="Y149" s="82">
        <v>0</v>
      </c>
      <c r="Z149" s="86">
        <v>43759.28303240741</v>
      </c>
      <c r="AA149" s="86">
        <v>43759.28303240741</v>
      </c>
      <c r="AB149" s="82"/>
      <c r="AC149" s="82"/>
      <c r="AD149" s="82"/>
      <c r="AE149" s="82">
        <v>1</v>
      </c>
      <c r="AF149" s="81">
        <v>1</v>
      </c>
      <c r="AG149" s="81">
        <v>1</v>
      </c>
      <c r="AH149" s="49">
        <v>3</v>
      </c>
      <c r="AI149" s="50">
        <v>60</v>
      </c>
      <c r="AJ149" s="49">
        <v>0</v>
      </c>
      <c r="AK149" s="50">
        <v>0</v>
      </c>
      <c r="AL149" s="49">
        <v>0</v>
      </c>
      <c r="AM149" s="50">
        <v>0</v>
      </c>
      <c r="AN149" s="49">
        <v>1</v>
      </c>
      <c r="AO149" s="50">
        <v>20</v>
      </c>
      <c r="AP149" s="49">
        <v>5</v>
      </c>
    </row>
    <row r="150" spans="1:42" ht="15">
      <c r="A150" s="66" t="s">
        <v>369</v>
      </c>
      <c r="B150" s="66" t="s">
        <v>372</v>
      </c>
      <c r="C150" s="67" t="s">
        <v>404</v>
      </c>
      <c r="D150" s="68">
        <v>3</v>
      </c>
      <c r="E150" s="69"/>
      <c r="F150" s="70">
        <v>40</v>
      </c>
      <c r="G150" s="67"/>
      <c r="H150" s="71"/>
      <c r="I150" s="72"/>
      <c r="J150" s="72"/>
      <c r="K150" s="35" t="s">
        <v>65</v>
      </c>
      <c r="L150" s="80">
        <v>150</v>
      </c>
      <c r="M150" s="80"/>
      <c r="N150" s="74"/>
      <c r="O150" s="82" t="s">
        <v>406</v>
      </c>
      <c r="P150" s="82" t="s">
        <v>197</v>
      </c>
      <c r="Q150" s="82" t="s">
        <v>544</v>
      </c>
      <c r="R150" s="82" t="s">
        <v>369</v>
      </c>
      <c r="S150" s="82" t="s">
        <v>686</v>
      </c>
      <c r="T150" s="84" t="str">
        <f>HYPERLINK("http://www.youtube.com/channel/UC3bC6U4pFHacee5RahQYSDQ")</f>
        <v>http://www.youtube.com/channel/UC3bC6U4pFHacee5RahQYSDQ</v>
      </c>
      <c r="U150" s="82"/>
      <c r="V150" s="82" t="s">
        <v>705</v>
      </c>
      <c r="W150" s="84" t="str">
        <f>HYPERLINK("https://www.youtube.com/watch?v=OnEGLhO0ZkA")</f>
        <v>https://www.youtube.com/watch?v=OnEGLhO0ZkA</v>
      </c>
      <c r="X150" s="82" t="s">
        <v>735</v>
      </c>
      <c r="Y150" s="82">
        <v>0</v>
      </c>
      <c r="Z150" s="86">
        <v>43765.75641203704</v>
      </c>
      <c r="AA150" s="86">
        <v>43765.75641203704</v>
      </c>
      <c r="AB150" s="82"/>
      <c r="AC150" s="82"/>
      <c r="AD150" s="82"/>
      <c r="AE150" s="82">
        <v>1</v>
      </c>
      <c r="AF150" s="81">
        <v>1</v>
      </c>
      <c r="AG150" s="81">
        <v>1</v>
      </c>
      <c r="AH150" s="49">
        <v>0</v>
      </c>
      <c r="AI150" s="50">
        <v>0</v>
      </c>
      <c r="AJ150" s="49">
        <v>0</v>
      </c>
      <c r="AK150" s="50">
        <v>0</v>
      </c>
      <c r="AL150" s="49">
        <v>0</v>
      </c>
      <c r="AM150" s="50">
        <v>0</v>
      </c>
      <c r="AN150" s="49">
        <v>0</v>
      </c>
      <c r="AO150" s="50">
        <v>0</v>
      </c>
      <c r="AP150" s="49">
        <v>0</v>
      </c>
    </row>
    <row r="151" spans="1:42" ht="15">
      <c r="A151" s="66" t="s">
        <v>370</v>
      </c>
      <c r="B151" s="66" t="s">
        <v>372</v>
      </c>
      <c r="C151" s="67" t="s">
        <v>404</v>
      </c>
      <c r="D151" s="68">
        <v>3</v>
      </c>
      <c r="E151" s="69"/>
      <c r="F151" s="70">
        <v>40</v>
      </c>
      <c r="G151" s="67"/>
      <c r="H151" s="71"/>
      <c r="I151" s="72"/>
      <c r="J151" s="72"/>
      <c r="K151" s="35" t="s">
        <v>65</v>
      </c>
      <c r="L151" s="80">
        <v>151</v>
      </c>
      <c r="M151" s="80"/>
      <c r="N151" s="74"/>
      <c r="O151" s="82" t="s">
        <v>406</v>
      </c>
      <c r="P151" s="82" t="s">
        <v>197</v>
      </c>
      <c r="Q151" s="82" t="s">
        <v>545</v>
      </c>
      <c r="R151" s="82" t="s">
        <v>370</v>
      </c>
      <c r="S151" s="82" t="s">
        <v>687</v>
      </c>
      <c r="T151" s="84" t="str">
        <f>HYPERLINK("http://www.youtube.com/channel/UCz2VJsU0L-e1OP4xwr4PHrg")</f>
        <v>http://www.youtube.com/channel/UCz2VJsU0L-e1OP4xwr4PHrg</v>
      </c>
      <c r="U151" s="82"/>
      <c r="V151" s="82" t="s">
        <v>705</v>
      </c>
      <c r="W151" s="84" t="str">
        <f>HYPERLINK("https://www.youtube.com/watch?v=OnEGLhO0ZkA")</f>
        <v>https://www.youtube.com/watch?v=OnEGLhO0ZkA</v>
      </c>
      <c r="X151" s="82" t="s">
        <v>735</v>
      </c>
      <c r="Y151" s="82">
        <v>1</v>
      </c>
      <c r="Z151" s="86">
        <v>44689.146782407406</v>
      </c>
      <c r="AA151" s="86">
        <v>44689.146782407406</v>
      </c>
      <c r="AB151" s="82"/>
      <c r="AC151" s="82"/>
      <c r="AD151" s="82"/>
      <c r="AE151" s="82">
        <v>1</v>
      </c>
      <c r="AF151" s="81">
        <v>1</v>
      </c>
      <c r="AG151" s="81">
        <v>1</v>
      </c>
      <c r="AH151" s="49">
        <v>2</v>
      </c>
      <c r="AI151" s="50">
        <v>40</v>
      </c>
      <c r="AJ151" s="49">
        <v>0</v>
      </c>
      <c r="AK151" s="50">
        <v>0</v>
      </c>
      <c r="AL151" s="49">
        <v>0</v>
      </c>
      <c r="AM151" s="50">
        <v>0</v>
      </c>
      <c r="AN151" s="49">
        <v>3</v>
      </c>
      <c r="AO151" s="50">
        <v>60</v>
      </c>
      <c r="AP151" s="49">
        <v>5</v>
      </c>
    </row>
    <row r="152" spans="1:42" ht="15">
      <c r="A152" s="66" t="s">
        <v>371</v>
      </c>
      <c r="B152" s="66" t="s">
        <v>372</v>
      </c>
      <c r="C152" s="67" t="s">
        <v>404</v>
      </c>
      <c r="D152" s="68">
        <v>3</v>
      </c>
      <c r="E152" s="69"/>
      <c r="F152" s="70">
        <v>40</v>
      </c>
      <c r="G152" s="67"/>
      <c r="H152" s="71"/>
      <c r="I152" s="72"/>
      <c r="J152" s="72"/>
      <c r="K152" s="35" t="s">
        <v>65</v>
      </c>
      <c r="L152" s="80">
        <v>152</v>
      </c>
      <c r="M152" s="80"/>
      <c r="N152" s="74"/>
      <c r="O152" s="82" t="s">
        <v>406</v>
      </c>
      <c r="P152" s="82" t="s">
        <v>197</v>
      </c>
      <c r="Q152" s="82" t="s">
        <v>546</v>
      </c>
      <c r="R152" s="82" t="s">
        <v>371</v>
      </c>
      <c r="S152" s="82" t="s">
        <v>688</v>
      </c>
      <c r="T152" s="84" t="str">
        <f>HYPERLINK("http://www.youtube.com/channel/UCT-ZQLKcrWAQJkyVgKleMFg")</f>
        <v>http://www.youtube.com/channel/UCT-ZQLKcrWAQJkyVgKleMFg</v>
      </c>
      <c r="U152" s="82"/>
      <c r="V152" s="82" t="s">
        <v>705</v>
      </c>
      <c r="W152" s="84" t="str">
        <f>HYPERLINK("https://www.youtube.com/watch?v=OnEGLhO0ZkA")</f>
        <v>https://www.youtube.com/watch?v=OnEGLhO0ZkA</v>
      </c>
      <c r="X152" s="82" t="s">
        <v>735</v>
      </c>
      <c r="Y152" s="82">
        <v>0</v>
      </c>
      <c r="Z152" s="86">
        <v>44730.04019675926</v>
      </c>
      <c r="AA152" s="86">
        <v>44730.04347222222</v>
      </c>
      <c r="AB152" s="82"/>
      <c r="AC152" s="82"/>
      <c r="AD152" s="82"/>
      <c r="AE152" s="82">
        <v>1</v>
      </c>
      <c r="AF152" s="81">
        <v>1</v>
      </c>
      <c r="AG152" s="81">
        <v>1</v>
      </c>
      <c r="AH152" s="49">
        <v>0</v>
      </c>
      <c r="AI152" s="50">
        <v>0</v>
      </c>
      <c r="AJ152" s="49">
        <v>0</v>
      </c>
      <c r="AK152" s="50">
        <v>0</v>
      </c>
      <c r="AL152" s="49">
        <v>0</v>
      </c>
      <c r="AM152" s="50">
        <v>0</v>
      </c>
      <c r="AN152" s="49">
        <v>7</v>
      </c>
      <c r="AO152" s="50">
        <v>50</v>
      </c>
      <c r="AP152" s="49">
        <v>14</v>
      </c>
    </row>
    <row r="153" spans="1:42" ht="15">
      <c r="A153" s="66" t="s">
        <v>372</v>
      </c>
      <c r="B153" s="66" t="s">
        <v>372</v>
      </c>
      <c r="C153" s="67" t="s">
        <v>1784</v>
      </c>
      <c r="D153" s="68">
        <v>3</v>
      </c>
      <c r="E153" s="69"/>
      <c r="F153" s="70">
        <v>40</v>
      </c>
      <c r="G153" s="67"/>
      <c r="H153" s="71"/>
      <c r="I153" s="72"/>
      <c r="J153" s="72"/>
      <c r="K153" s="35" t="s">
        <v>65</v>
      </c>
      <c r="L153" s="80">
        <v>153</v>
      </c>
      <c r="M153" s="80"/>
      <c r="N153" s="74"/>
      <c r="O153" s="82" t="s">
        <v>406</v>
      </c>
      <c r="P153" s="82" t="s">
        <v>197</v>
      </c>
      <c r="Q153" s="82" t="s">
        <v>547</v>
      </c>
      <c r="R153" s="82" t="s">
        <v>372</v>
      </c>
      <c r="S153" s="82" t="s">
        <v>689</v>
      </c>
      <c r="T153" s="84" t="str">
        <f>HYPERLINK("http://www.youtube.com/channel/UC4EBLyv8FBuRC-OqRCBI1Ag")</f>
        <v>http://www.youtube.com/channel/UC4EBLyv8FBuRC-OqRCBI1Ag</v>
      </c>
      <c r="U153" s="82"/>
      <c r="V153" s="82" t="s">
        <v>705</v>
      </c>
      <c r="W153" s="84" t="str">
        <f>HYPERLINK("https://www.youtube.com/watch?v=OnEGLhO0ZkA")</f>
        <v>https://www.youtube.com/watch?v=OnEGLhO0ZkA</v>
      </c>
      <c r="X153" s="82" t="s">
        <v>735</v>
      </c>
      <c r="Y153" s="82">
        <v>6</v>
      </c>
      <c r="Z153" s="86">
        <v>43744.172326388885</v>
      </c>
      <c r="AA153" s="86">
        <v>43744.175891203704</v>
      </c>
      <c r="AB153" s="82"/>
      <c r="AC153" s="82"/>
      <c r="AD153" s="82"/>
      <c r="AE153" s="82">
        <v>9</v>
      </c>
      <c r="AF153" s="81">
        <v>1</v>
      </c>
      <c r="AG153" s="81">
        <v>1</v>
      </c>
      <c r="AH153" s="49">
        <v>5</v>
      </c>
      <c r="AI153" s="110">
        <v>2.808988764044944</v>
      </c>
      <c r="AJ153" s="49">
        <v>0</v>
      </c>
      <c r="AK153" s="50">
        <v>0</v>
      </c>
      <c r="AL153" s="49">
        <v>0</v>
      </c>
      <c r="AM153" s="50">
        <v>0</v>
      </c>
      <c r="AN153" s="49">
        <v>62</v>
      </c>
      <c r="AO153" s="110">
        <v>34.831460674157306</v>
      </c>
      <c r="AP153" s="49">
        <v>178</v>
      </c>
    </row>
    <row r="154" spans="1:42" ht="15">
      <c r="A154" s="66" t="s">
        <v>373</v>
      </c>
      <c r="B154" s="66" t="s">
        <v>372</v>
      </c>
      <c r="C154" s="67" t="s">
        <v>1783</v>
      </c>
      <c r="D154" s="68">
        <v>3</v>
      </c>
      <c r="E154" s="69"/>
      <c r="F154" s="70">
        <v>40</v>
      </c>
      <c r="G154" s="67"/>
      <c r="H154" s="71"/>
      <c r="I154" s="72"/>
      <c r="J154" s="72"/>
      <c r="K154" s="35" t="s">
        <v>65</v>
      </c>
      <c r="L154" s="80">
        <v>154</v>
      </c>
      <c r="M154" s="80"/>
      <c r="N154" s="74"/>
      <c r="O154" s="82" t="s">
        <v>406</v>
      </c>
      <c r="P154" s="82" t="s">
        <v>197</v>
      </c>
      <c r="Q154" s="82" t="s">
        <v>548</v>
      </c>
      <c r="R154" s="82" t="s">
        <v>373</v>
      </c>
      <c r="S154" s="82" t="s">
        <v>690</v>
      </c>
      <c r="T154" s="84" t="str">
        <f>HYPERLINK("http://www.youtube.com/channel/UCwa_5NKJfN0Li4TsAgPPSfQ")</f>
        <v>http://www.youtube.com/channel/UCwa_5NKJfN0Li4TsAgPPSfQ</v>
      </c>
      <c r="U154" s="82"/>
      <c r="V154" s="82" t="s">
        <v>705</v>
      </c>
      <c r="W154" s="84" t="str">
        <f>HYPERLINK("https://www.youtube.com/watch?v=OnEGLhO0ZkA")</f>
        <v>https://www.youtube.com/watch?v=OnEGLhO0ZkA</v>
      </c>
      <c r="X154" s="82" t="s">
        <v>735</v>
      </c>
      <c r="Y154" s="82">
        <v>0</v>
      </c>
      <c r="Z154" s="86">
        <v>44753.192824074074</v>
      </c>
      <c r="AA154" s="86">
        <v>44753.192824074074</v>
      </c>
      <c r="AB154" s="82"/>
      <c r="AC154" s="82"/>
      <c r="AD154" s="82"/>
      <c r="AE154" s="82">
        <v>4</v>
      </c>
      <c r="AF154" s="81">
        <v>1</v>
      </c>
      <c r="AG154" s="81">
        <v>1</v>
      </c>
      <c r="AH154" s="49">
        <v>0</v>
      </c>
      <c r="AI154" s="50">
        <v>0</v>
      </c>
      <c r="AJ154" s="49">
        <v>0</v>
      </c>
      <c r="AK154" s="50">
        <v>0</v>
      </c>
      <c r="AL154" s="49">
        <v>0</v>
      </c>
      <c r="AM154" s="50">
        <v>0</v>
      </c>
      <c r="AN154" s="49">
        <v>3</v>
      </c>
      <c r="AO154" s="50">
        <v>50</v>
      </c>
      <c r="AP154" s="49">
        <v>6</v>
      </c>
    </row>
    <row r="155" spans="1:42" ht="15">
      <c r="A155" s="66" t="s">
        <v>374</v>
      </c>
      <c r="B155" s="66" t="s">
        <v>374</v>
      </c>
      <c r="C155" s="67" t="s">
        <v>404</v>
      </c>
      <c r="D155" s="68">
        <v>3</v>
      </c>
      <c r="E155" s="69"/>
      <c r="F155" s="70">
        <v>40</v>
      </c>
      <c r="G155" s="67"/>
      <c r="H155" s="71"/>
      <c r="I155" s="72"/>
      <c r="J155" s="72"/>
      <c r="K155" s="35" t="s">
        <v>65</v>
      </c>
      <c r="L155" s="80">
        <v>155</v>
      </c>
      <c r="M155" s="80"/>
      <c r="N155" s="74"/>
      <c r="O155" s="82" t="s">
        <v>407</v>
      </c>
      <c r="P155" s="82"/>
      <c r="Q155" s="82"/>
      <c r="R155" s="82"/>
      <c r="S155" s="82"/>
      <c r="T155" s="82"/>
      <c r="U155" s="82"/>
      <c r="V155" s="82" t="s">
        <v>706</v>
      </c>
      <c r="W155" s="84" t="str">
        <f>HYPERLINK("https://www.youtube.com/watch?v=1CCBeh9IPLo")</f>
        <v>https://www.youtube.com/watch?v=1CCBeh9IPLo</v>
      </c>
      <c r="X155" s="82"/>
      <c r="Y155" s="82"/>
      <c r="Z155" s="86">
        <v>43300.950844907406</v>
      </c>
      <c r="AA155" s="82"/>
      <c r="AB155" s="82"/>
      <c r="AC155" s="82"/>
      <c r="AD155" s="82"/>
      <c r="AE155" s="82">
        <v>1</v>
      </c>
      <c r="AF155" s="81">
        <v>2</v>
      </c>
      <c r="AG155" s="81">
        <v>2</v>
      </c>
      <c r="AH155" s="49"/>
      <c r="AI155" s="50"/>
      <c r="AJ155" s="49"/>
      <c r="AK155" s="50"/>
      <c r="AL155" s="49"/>
      <c r="AM155" s="50"/>
      <c r="AN155" s="49"/>
      <c r="AO155" s="50"/>
      <c r="AP155" s="49"/>
    </row>
    <row r="156" spans="1:42" ht="15">
      <c r="A156" s="66" t="s">
        <v>375</v>
      </c>
      <c r="B156" s="66" t="s">
        <v>375</v>
      </c>
      <c r="C156" s="67" t="s">
        <v>404</v>
      </c>
      <c r="D156" s="68">
        <v>3</v>
      </c>
      <c r="E156" s="69"/>
      <c r="F156" s="70">
        <v>40</v>
      </c>
      <c r="G156" s="67"/>
      <c r="H156" s="71"/>
      <c r="I156" s="72"/>
      <c r="J156" s="72"/>
      <c r="K156" s="35" t="s">
        <v>65</v>
      </c>
      <c r="L156" s="80">
        <v>156</v>
      </c>
      <c r="M156" s="80"/>
      <c r="N156" s="74"/>
      <c r="O156" s="82" t="s">
        <v>407</v>
      </c>
      <c r="P156" s="82"/>
      <c r="Q156" s="82"/>
      <c r="R156" s="82"/>
      <c r="S156" s="82"/>
      <c r="T156" s="82"/>
      <c r="U156" s="82"/>
      <c r="V156" s="82" t="s">
        <v>707</v>
      </c>
      <c r="W156" s="84" t="str">
        <f>HYPERLINK("https://www.youtube.com/watch?v=rGIM2VzISW4")</f>
        <v>https://www.youtube.com/watch?v=rGIM2VzISW4</v>
      </c>
      <c r="X156" s="82"/>
      <c r="Y156" s="82"/>
      <c r="Z156" s="86">
        <v>42347.971666666665</v>
      </c>
      <c r="AA156" s="82"/>
      <c r="AB156" s="82"/>
      <c r="AC156" s="82"/>
      <c r="AD156" s="82"/>
      <c r="AE156" s="82">
        <v>1</v>
      </c>
      <c r="AF156" s="81">
        <v>2</v>
      </c>
      <c r="AG156" s="81">
        <v>2</v>
      </c>
      <c r="AH156" s="49"/>
      <c r="AI156" s="50"/>
      <c r="AJ156" s="49"/>
      <c r="AK156" s="50"/>
      <c r="AL156" s="49"/>
      <c r="AM156" s="50"/>
      <c r="AN156" s="49"/>
      <c r="AO156" s="50"/>
      <c r="AP156" s="49"/>
    </row>
    <row r="157" spans="1:42" ht="15">
      <c r="A157" s="66" t="s">
        <v>376</v>
      </c>
      <c r="B157" s="66" t="s">
        <v>376</v>
      </c>
      <c r="C157" s="67" t="s">
        <v>1783</v>
      </c>
      <c r="D157" s="68">
        <v>3</v>
      </c>
      <c r="E157" s="69"/>
      <c r="F157" s="70">
        <v>40</v>
      </c>
      <c r="G157" s="67"/>
      <c r="H157" s="71"/>
      <c r="I157" s="72"/>
      <c r="J157" s="72"/>
      <c r="K157" s="35" t="s">
        <v>65</v>
      </c>
      <c r="L157" s="80">
        <v>157</v>
      </c>
      <c r="M157" s="80"/>
      <c r="N157" s="74"/>
      <c r="O157" s="82" t="s">
        <v>407</v>
      </c>
      <c r="P157" s="82"/>
      <c r="Q157" s="82"/>
      <c r="R157" s="82"/>
      <c r="S157" s="82"/>
      <c r="T157" s="82"/>
      <c r="U157" s="82"/>
      <c r="V157" s="82" t="s">
        <v>708</v>
      </c>
      <c r="W157" s="84" t="str">
        <f>HYPERLINK("https://www.youtube.com/watch?v=mHMiBrhfHMo")</f>
        <v>https://www.youtube.com/watch?v=mHMiBrhfHMo</v>
      </c>
      <c r="X157" s="82"/>
      <c r="Y157" s="82"/>
      <c r="Z157" s="86">
        <v>44387.80738425926</v>
      </c>
      <c r="AA157" s="82"/>
      <c r="AB157" s="82"/>
      <c r="AC157" s="82"/>
      <c r="AD157" s="82"/>
      <c r="AE157" s="82">
        <v>4</v>
      </c>
      <c r="AF157" s="81">
        <v>2</v>
      </c>
      <c r="AG157" s="81">
        <v>2</v>
      </c>
      <c r="AH157" s="49"/>
      <c r="AI157" s="50"/>
      <c r="AJ157" s="49"/>
      <c r="AK157" s="50"/>
      <c r="AL157" s="49"/>
      <c r="AM157" s="50"/>
      <c r="AN157" s="49"/>
      <c r="AO157" s="50"/>
      <c r="AP157" s="49"/>
    </row>
    <row r="158" spans="1:42" ht="15">
      <c r="A158" s="66" t="s">
        <v>377</v>
      </c>
      <c r="B158" s="66" t="s">
        <v>377</v>
      </c>
      <c r="C158" s="67" t="s">
        <v>404</v>
      </c>
      <c r="D158" s="68">
        <v>3</v>
      </c>
      <c r="E158" s="69"/>
      <c r="F158" s="70">
        <v>40</v>
      </c>
      <c r="G158" s="67"/>
      <c r="H158" s="71"/>
      <c r="I158" s="72"/>
      <c r="J158" s="72"/>
      <c r="K158" s="35" t="s">
        <v>65</v>
      </c>
      <c r="L158" s="80">
        <v>158</v>
      </c>
      <c r="M158" s="80"/>
      <c r="N158" s="74"/>
      <c r="O158" s="82" t="s">
        <v>407</v>
      </c>
      <c r="P158" s="82"/>
      <c r="Q158" s="82"/>
      <c r="R158" s="82"/>
      <c r="S158" s="82"/>
      <c r="T158" s="82"/>
      <c r="U158" s="82"/>
      <c r="V158" s="82" t="s">
        <v>709</v>
      </c>
      <c r="W158" s="84" t="str">
        <f>HYPERLINK("https://www.youtube.com/watch?v=8ahhC0tyeEw")</f>
        <v>https://www.youtube.com/watch?v=8ahhC0tyeEw</v>
      </c>
      <c r="X158" s="82"/>
      <c r="Y158" s="82"/>
      <c r="Z158" s="86">
        <v>42320.72141203703</v>
      </c>
      <c r="AA158" s="82"/>
      <c r="AB158" s="82"/>
      <c r="AC158" s="82"/>
      <c r="AD158" s="82"/>
      <c r="AE158" s="82">
        <v>1</v>
      </c>
      <c r="AF158" s="81">
        <v>2</v>
      </c>
      <c r="AG158" s="81">
        <v>2</v>
      </c>
      <c r="AH158" s="49"/>
      <c r="AI158" s="50"/>
      <c r="AJ158" s="49"/>
      <c r="AK158" s="50"/>
      <c r="AL158" s="49"/>
      <c r="AM158" s="50"/>
      <c r="AN158" s="49"/>
      <c r="AO158" s="50"/>
      <c r="AP158" s="49"/>
    </row>
    <row r="159" spans="1:42" ht="15">
      <c r="A159" s="66" t="s">
        <v>378</v>
      </c>
      <c r="B159" s="66" t="s">
        <v>378</v>
      </c>
      <c r="C159" s="67" t="s">
        <v>1783</v>
      </c>
      <c r="D159" s="68">
        <v>3</v>
      </c>
      <c r="E159" s="69"/>
      <c r="F159" s="70">
        <v>40</v>
      </c>
      <c r="G159" s="67"/>
      <c r="H159" s="71"/>
      <c r="I159" s="72"/>
      <c r="J159" s="72"/>
      <c r="K159" s="35" t="s">
        <v>65</v>
      </c>
      <c r="L159" s="80">
        <v>159</v>
      </c>
      <c r="M159" s="80"/>
      <c r="N159" s="74"/>
      <c r="O159" s="82" t="s">
        <v>407</v>
      </c>
      <c r="P159" s="82"/>
      <c r="Q159" s="82"/>
      <c r="R159" s="82"/>
      <c r="S159" s="82"/>
      <c r="T159" s="82"/>
      <c r="U159" s="82"/>
      <c r="V159" s="82" t="s">
        <v>710</v>
      </c>
      <c r="W159" s="84" t="str">
        <f>HYPERLINK("https://www.youtube.com/watch?v=v0wgsQjWv44")</f>
        <v>https://www.youtube.com/watch?v=v0wgsQjWv44</v>
      </c>
      <c r="X159" s="82"/>
      <c r="Y159" s="82"/>
      <c r="Z159" s="86">
        <v>44901.78611111111</v>
      </c>
      <c r="AA159" s="82"/>
      <c r="AB159" s="82"/>
      <c r="AC159" s="82"/>
      <c r="AD159" s="82"/>
      <c r="AE159" s="82">
        <v>4</v>
      </c>
      <c r="AF159" s="81">
        <v>2</v>
      </c>
      <c r="AG159" s="81">
        <v>2</v>
      </c>
      <c r="AH159" s="49"/>
      <c r="AI159" s="50"/>
      <c r="AJ159" s="49"/>
      <c r="AK159" s="50"/>
      <c r="AL159" s="49"/>
      <c r="AM159" s="50"/>
      <c r="AN159" s="49"/>
      <c r="AO159" s="50"/>
      <c r="AP159" s="49"/>
    </row>
    <row r="160" spans="1:42" ht="15">
      <c r="A160" s="66" t="s">
        <v>379</v>
      </c>
      <c r="B160" s="66" t="s">
        <v>379</v>
      </c>
      <c r="C160" s="67" t="s">
        <v>404</v>
      </c>
      <c r="D160" s="68">
        <v>3</v>
      </c>
      <c r="E160" s="69"/>
      <c r="F160" s="70">
        <v>40</v>
      </c>
      <c r="G160" s="67"/>
      <c r="H160" s="71"/>
      <c r="I160" s="72"/>
      <c r="J160" s="72"/>
      <c r="K160" s="35" t="s">
        <v>65</v>
      </c>
      <c r="L160" s="80">
        <v>160</v>
      </c>
      <c r="M160" s="80"/>
      <c r="N160" s="74"/>
      <c r="O160" s="82" t="s">
        <v>407</v>
      </c>
      <c r="P160" s="82"/>
      <c r="Q160" s="82"/>
      <c r="R160" s="82"/>
      <c r="S160" s="82"/>
      <c r="T160" s="82"/>
      <c r="U160" s="82"/>
      <c r="V160" s="82" t="s">
        <v>711</v>
      </c>
      <c r="W160" s="84" t="str">
        <f>HYPERLINK("https://www.youtube.com/watch?v=0ag2qtb7gyk")</f>
        <v>https://www.youtube.com/watch?v=0ag2qtb7gyk</v>
      </c>
      <c r="X160" s="82"/>
      <c r="Y160" s="82"/>
      <c r="Z160" s="86">
        <v>43822.70846064815</v>
      </c>
      <c r="AA160" s="82"/>
      <c r="AB160" s="82"/>
      <c r="AC160" s="82"/>
      <c r="AD160" s="82"/>
      <c r="AE160" s="82">
        <v>1</v>
      </c>
      <c r="AF160" s="81">
        <v>2</v>
      </c>
      <c r="AG160" s="81">
        <v>2</v>
      </c>
      <c r="AH160" s="49"/>
      <c r="AI160" s="50"/>
      <c r="AJ160" s="49"/>
      <c r="AK160" s="50"/>
      <c r="AL160" s="49"/>
      <c r="AM160" s="50"/>
      <c r="AN160" s="49"/>
      <c r="AO160" s="50"/>
      <c r="AP160" s="49"/>
    </row>
    <row r="161" spans="1:42" ht="15">
      <c r="A161" s="66" t="s">
        <v>380</v>
      </c>
      <c r="B161" s="66" t="s">
        <v>380</v>
      </c>
      <c r="C161" s="67" t="s">
        <v>404</v>
      </c>
      <c r="D161" s="68">
        <v>3</v>
      </c>
      <c r="E161" s="69"/>
      <c r="F161" s="70">
        <v>40</v>
      </c>
      <c r="G161" s="67"/>
      <c r="H161" s="71"/>
      <c r="I161" s="72"/>
      <c r="J161" s="72"/>
      <c r="K161" s="35" t="s">
        <v>65</v>
      </c>
      <c r="L161" s="80">
        <v>161</v>
      </c>
      <c r="M161" s="80"/>
      <c r="N161" s="74"/>
      <c r="O161" s="82" t="s">
        <v>407</v>
      </c>
      <c r="P161" s="82"/>
      <c r="Q161" s="82"/>
      <c r="R161" s="82"/>
      <c r="S161" s="82"/>
      <c r="T161" s="82"/>
      <c r="U161" s="82"/>
      <c r="V161" s="82" t="s">
        <v>712</v>
      </c>
      <c r="W161" s="84" t="str">
        <f>HYPERLINK("https://www.youtube.com/watch?v=R526WFz-P_U")</f>
        <v>https://www.youtube.com/watch?v=R526WFz-P_U</v>
      </c>
      <c r="X161" s="82"/>
      <c r="Y161" s="82"/>
      <c r="Z161" s="86">
        <v>44361.936747685184</v>
      </c>
      <c r="AA161" s="82"/>
      <c r="AB161" s="82"/>
      <c r="AC161" s="82"/>
      <c r="AD161" s="82"/>
      <c r="AE161" s="82">
        <v>1</v>
      </c>
      <c r="AF161" s="81">
        <v>2</v>
      </c>
      <c r="AG161" s="81">
        <v>2</v>
      </c>
      <c r="AH161" s="49"/>
      <c r="AI161" s="50"/>
      <c r="AJ161" s="49"/>
      <c r="AK161" s="50"/>
      <c r="AL161" s="49"/>
      <c r="AM161" s="50"/>
      <c r="AN161" s="49"/>
      <c r="AO161" s="50"/>
      <c r="AP161" s="49"/>
    </row>
    <row r="162" spans="1:42" ht="15">
      <c r="A162" s="66" t="s">
        <v>381</v>
      </c>
      <c r="B162" s="66" t="s">
        <v>381</v>
      </c>
      <c r="C162" s="67" t="s">
        <v>404</v>
      </c>
      <c r="D162" s="68">
        <v>3</v>
      </c>
      <c r="E162" s="69"/>
      <c r="F162" s="70">
        <v>40</v>
      </c>
      <c r="G162" s="67"/>
      <c r="H162" s="71"/>
      <c r="I162" s="72"/>
      <c r="J162" s="72"/>
      <c r="K162" s="35" t="s">
        <v>65</v>
      </c>
      <c r="L162" s="80">
        <v>162</v>
      </c>
      <c r="M162" s="80"/>
      <c r="N162" s="74"/>
      <c r="O162" s="82" t="s">
        <v>407</v>
      </c>
      <c r="P162" s="82"/>
      <c r="Q162" s="82"/>
      <c r="R162" s="82"/>
      <c r="S162" s="82"/>
      <c r="T162" s="82"/>
      <c r="U162" s="82"/>
      <c r="V162" s="82" t="s">
        <v>713</v>
      </c>
      <c r="W162" s="84" t="str">
        <f>HYPERLINK("https://www.youtube.com/watch?v=k8XVyw0UWQU")</f>
        <v>https://www.youtube.com/watch?v=k8XVyw0UWQU</v>
      </c>
      <c r="X162" s="82"/>
      <c r="Y162" s="82"/>
      <c r="Z162" s="86">
        <v>44512.08027777778</v>
      </c>
      <c r="AA162" s="82"/>
      <c r="AB162" s="82"/>
      <c r="AC162" s="82"/>
      <c r="AD162" s="82"/>
      <c r="AE162" s="82">
        <v>1</v>
      </c>
      <c r="AF162" s="81">
        <v>2</v>
      </c>
      <c r="AG162" s="81">
        <v>2</v>
      </c>
      <c r="AH162" s="49"/>
      <c r="AI162" s="50"/>
      <c r="AJ162" s="49"/>
      <c r="AK162" s="50"/>
      <c r="AL162" s="49"/>
      <c r="AM162" s="50"/>
      <c r="AN162" s="49"/>
      <c r="AO162" s="50"/>
      <c r="AP162" s="49"/>
    </row>
    <row r="163" spans="1:42" ht="15">
      <c r="A163" s="66" t="s">
        <v>382</v>
      </c>
      <c r="B163" s="66" t="s">
        <v>382</v>
      </c>
      <c r="C163" s="67" t="s">
        <v>404</v>
      </c>
      <c r="D163" s="68">
        <v>3</v>
      </c>
      <c r="E163" s="69"/>
      <c r="F163" s="70">
        <v>40</v>
      </c>
      <c r="G163" s="67"/>
      <c r="H163" s="71"/>
      <c r="I163" s="72"/>
      <c r="J163" s="72"/>
      <c r="K163" s="35" t="s">
        <v>65</v>
      </c>
      <c r="L163" s="80">
        <v>163</v>
      </c>
      <c r="M163" s="80"/>
      <c r="N163" s="74"/>
      <c r="O163" s="82" t="s">
        <v>407</v>
      </c>
      <c r="P163" s="82"/>
      <c r="Q163" s="82"/>
      <c r="R163" s="82"/>
      <c r="S163" s="82"/>
      <c r="T163" s="82"/>
      <c r="U163" s="82"/>
      <c r="V163" s="82" t="s">
        <v>714</v>
      </c>
      <c r="W163" s="84" t="str">
        <f>HYPERLINK("https://www.youtube.com/watch?v=-VWKefgqSGk")</f>
        <v>https://www.youtube.com/watch?v=-VWKefgqSGk</v>
      </c>
      <c r="X163" s="82"/>
      <c r="Y163" s="82"/>
      <c r="Z163" s="86">
        <v>45073.06350694445</v>
      </c>
      <c r="AA163" s="82"/>
      <c r="AB163" s="82"/>
      <c r="AC163" s="82"/>
      <c r="AD163" s="82"/>
      <c r="AE163" s="82">
        <v>1</v>
      </c>
      <c r="AF163" s="81">
        <v>2</v>
      </c>
      <c r="AG163" s="81">
        <v>2</v>
      </c>
      <c r="AH163" s="49"/>
      <c r="AI163" s="50"/>
      <c r="AJ163" s="49"/>
      <c r="AK163" s="50"/>
      <c r="AL163" s="49"/>
      <c r="AM163" s="50"/>
      <c r="AN163" s="49"/>
      <c r="AO163" s="50"/>
      <c r="AP163" s="49"/>
    </row>
    <row r="164" spans="1:42" ht="15">
      <c r="A164" s="66" t="s">
        <v>383</v>
      </c>
      <c r="B164" s="66" t="s">
        <v>383</v>
      </c>
      <c r="C164" s="67" t="s">
        <v>404</v>
      </c>
      <c r="D164" s="68">
        <v>3</v>
      </c>
      <c r="E164" s="69"/>
      <c r="F164" s="70">
        <v>40</v>
      </c>
      <c r="G164" s="67"/>
      <c r="H164" s="71"/>
      <c r="I164" s="72"/>
      <c r="J164" s="72"/>
      <c r="K164" s="35" t="s">
        <v>65</v>
      </c>
      <c r="L164" s="80">
        <v>164</v>
      </c>
      <c r="M164" s="80"/>
      <c r="N164" s="74"/>
      <c r="O164" s="82" t="s">
        <v>407</v>
      </c>
      <c r="P164" s="82"/>
      <c r="Q164" s="82"/>
      <c r="R164" s="82"/>
      <c r="S164" s="82"/>
      <c r="T164" s="82"/>
      <c r="U164" s="82"/>
      <c r="V164" s="82" t="s">
        <v>715</v>
      </c>
      <c r="W164" s="84" t="str">
        <f>HYPERLINK("https://www.youtube.com/watch?v=O9ZW4gMN2pw")</f>
        <v>https://www.youtube.com/watch?v=O9ZW4gMN2pw</v>
      </c>
      <c r="X164" s="82"/>
      <c r="Y164" s="82"/>
      <c r="Z164" s="86">
        <v>42684.09295138889</v>
      </c>
      <c r="AA164" s="82"/>
      <c r="AB164" s="82"/>
      <c r="AC164" s="82"/>
      <c r="AD164" s="82"/>
      <c r="AE164" s="82">
        <v>1</v>
      </c>
      <c r="AF164" s="81">
        <v>2</v>
      </c>
      <c r="AG164" s="81">
        <v>2</v>
      </c>
      <c r="AH164" s="49"/>
      <c r="AI164" s="50"/>
      <c r="AJ164" s="49"/>
      <c r="AK164" s="50"/>
      <c r="AL164" s="49"/>
      <c r="AM164" s="50"/>
      <c r="AN164" s="49"/>
      <c r="AO164" s="50"/>
      <c r="AP164" s="49"/>
    </row>
    <row r="165" spans="1:42" ht="15">
      <c r="A165" s="66" t="s">
        <v>384</v>
      </c>
      <c r="B165" s="66" t="s">
        <v>384</v>
      </c>
      <c r="C165" s="67" t="s">
        <v>404</v>
      </c>
      <c r="D165" s="68">
        <v>3</v>
      </c>
      <c r="E165" s="69"/>
      <c r="F165" s="70">
        <v>40</v>
      </c>
      <c r="G165" s="67"/>
      <c r="H165" s="71"/>
      <c r="I165" s="72"/>
      <c r="J165" s="72"/>
      <c r="K165" s="35" t="s">
        <v>65</v>
      </c>
      <c r="L165" s="80">
        <v>165</v>
      </c>
      <c r="M165" s="80"/>
      <c r="N165" s="74"/>
      <c r="O165" s="82" t="s">
        <v>407</v>
      </c>
      <c r="P165" s="82"/>
      <c r="Q165" s="82"/>
      <c r="R165" s="82"/>
      <c r="S165" s="82"/>
      <c r="T165" s="82"/>
      <c r="U165" s="82"/>
      <c r="V165" s="82" t="s">
        <v>716</v>
      </c>
      <c r="W165" s="84" t="str">
        <f>HYPERLINK("https://www.youtube.com/watch?v=NFA-kiVe3cU")</f>
        <v>https://www.youtube.com/watch?v=NFA-kiVe3cU</v>
      </c>
      <c r="X165" s="82"/>
      <c r="Y165" s="82"/>
      <c r="Z165" s="86">
        <v>43746.671168981484</v>
      </c>
      <c r="AA165" s="82"/>
      <c r="AB165" s="82"/>
      <c r="AC165" s="82"/>
      <c r="AD165" s="82"/>
      <c r="AE165" s="82">
        <v>1</v>
      </c>
      <c r="AF165" s="81">
        <v>2</v>
      </c>
      <c r="AG165" s="81">
        <v>2</v>
      </c>
      <c r="AH165" s="49"/>
      <c r="AI165" s="50"/>
      <c r="AJ165" s="49"/>
      <c r="AK165" s="50"/>
      <c r="AL165" s="49"/>
      <c r="AM165" s="50"/>
      <c r="AN165" s="49"/>
      <c r="AO165" s="50"/>
      <c r="AP165" s="49"/>
    </row>
    <row r="166" spans="1:42" ht="15">
      <c r="A166" s="66" t="s">
        <v>385</v>
      </c>
      <c r="B166" s="66" t="s">
        <v>385</v>
      </c>
      <c r="C166" s="67" t="s">
        <v>404</v>
      </c>
      <c r="D166" s="68">
        <v>3</v>
      </c>
      <c r="E166" s="69"/>
      <c r="F166" s="70">
        <v>40</v>
      </c>
      <c r="G166" s="67"/>
      <c r="H166" s="71"/>
      <c r="I166" s="72"/>
      <c r="J166" s="72"/>
      <c r="K166" s="35" t="s">
        <v>65</v>
      </c>
      <c r="L166" s="80">
        <v>166</v>
      </c>
      <c r="M166" s="80"/>
      <c r="N166" s="74"/>
      <c r="O166" s="82" t="s">
        <v>407</v>
      </c>
      <c r="P166" s="82"/>
      <c r="Q166" s="82"/>
      <c r="R166" s="82"/>
      <c r="S166" s="82"/>
      <c r="T166" s="82"/>
      <c r="U166" s="82"/>
      <c r="V166" s="82" t="s">
        <v>717</v>
      </c>
      <c r="W166" s="84" t="str">
        <f>HYPERLINK("https://www.youtube.com/watch?v=Wl4hidfJvy8")</f>
        <v>https://www.youtube.com/watch?v=Wl4hidfJvy8</v>
      </c>
      <c r="X166" s="82"/>
      <c r="Y166" s="82"/>
      <c r="Z166" s="86">
        <v>40883.900659722225</v>
      </c>
      <c r="AA166" s="82"/>
      <c r="AB166" s="82"/>
      <c r="AC166" s="82"/>
      <c r="AD166" s="82"/>
      <c r="AE166" s="82">
        <v>1</v>
      </c>
      <c r="AF166" s="81">
        <v>2</v>
      </c>
      <c r="AG166" s="81">
        <v>2</v>
      </c>
      <c r="AH166" s="49"/>
      <c r="AI166" s="50"/>
      <c r="AJ166" s="49"/>
      <c r="AK166" s="50"/>
      <c r="AL166" s="49"/>
      <c r="AM166" s="50"/>
      <c r="AN166" s="49"/>
      <c r="AO166" s="50"/>
      <c r="AP166" s="49"/>
    </row>
    <row r="167" spans="1:42" ht="15">
      <c r="A167" s="66" t="s">
        <v>386</v>
      </c>
      <c r="B167" s="66" t="s">
        <v>386</v>
      </c>
      <c r="C167" s="67" t="s">
        <v>404</v>
      </c>
      <c r="D167" s="68">
        <v>3</v>
      </c>
      <c r="E167" s="69"/>
      <c r="F167" s="70">
        <v>40</v>
      </c>
      <c r="G167" s="67"/>
      <c r="H167" s="71"/>
      <c r="I167" s="72"/>
      <c r="J167" s="72"/>
      <c r="K167" s="35" t="s">
        <v>65</v>
      </c>
      <c r="L167" s="80">
        <v>167</v>
      </c>
      <c r="M167" s="80"/>
      <c r="N167" s="74"/>
      <c r="O167" s="82" t="s">
        <v>407</v>
      </c>
      <c r="P167" s="82"/>
      <c r="Q167" s="82"/>
      <c r="R167" s="82"/>
      <c r="S167" s="82"/>
      <c r="T167" s="82"/>
      <c r="U167" s="82"/>
      <c r="V167" s="82" t="s">
        <v>718</v>
      </c>
      <c r="W167" s="84" t="str">
        <f>HYPERLINK("https://www.youtube.com/watch?v=pjWta5Q-C8g")</f>
        <v>https://www.youtube.com/watch?v=pjWta5Q-C8g</v>
      </c>
      <c r="X167" s="82"/>
      <c r="Y167" s="82"/>
      <c r="Z167" s="86">
        <v>41716.75960648148</v>
      </c>
      <c r="AA167" s="82"/>
      <c r="AB167" s="82"/>
      <c r="AC167" s="82"/>
      <c r="AD167" s="82"/>
      <c r="AE167" s="82">
        <v>1</v>
      </c>
      <c r="AF167" s="81">
        <v>2</v>
      </c>
      <c r="AG167" s="81">
        <v>2</v>
      </c>
      <c r="AH167" s="49"/>
      <c r="AI167" s="50"/>
      <c r="AJ167" s="49"/>
      <c r="AK167" s="50"/>
      <c r="AL167" s="49"/>
      <c r="AM167" s="50"/>
      <c r="AN167" s="49"/>
      <c r="AO167" s="50"/>
      <c r="AP167" s="49"/>
    </row>
    <row r="168" spans="1:42" ht="15">
      <c r="A168" s="66" t="s">
        <v>387</v>
      </c>
      <c r="B168" s="66" t="s">
        <v>387</v>
      </c>
      <c r="C168" s="67" t="s">
        <v>404</v>
      </c>
      <c r="D168" s="68">
        <v>3</v>
      </c>
      <c r="E168" s="69"/>
      <c r="F168" s="70">
        <v>40</v>
      </c>
      <c r="G168" s="67"/>
      <c r="H168" s="71"/>
      <c r="I168" s="72"/>
      <c r="J168" s="72"/>
      <c r="K168" s="35" t="s">
        <v>65</v>
      </c>
      <c r="L168" s="80">
        <v>168</v>
      </c>
      <c r="M168" s="80"/>
      <c r="N168" s="74"/>
      <c r="O168" s="82" t="s">
        <v>407</v>
      </c>
      <c r="P168" s="82"/>
      <c r="Q168" s="82"/>
      <c r="R168" s="82"/>
      <c r="S168" s="82"/>
      <c r="T168" s="82"/>
      <c r="U168" s="82"/>
      <c r="V168" s="82" t="s">
        <v>719</v>
      </c>
      <c r="W168" s="84" t="str">
        <f>HYPERLINK("https://www.youtube.com/watch?v=ZDSsgnZvcvo")</f>
        <v>https://www.youtube.com/watch?v=ZDSsgnZvcvo</v>
      </c>
      <c r="X168" s="82"/>
      <c r="Y168" s="82"/>
      <c r="Z168" s="86">
        <v>41562.574166666665</v>
      </c>
      <c r="AA168" s="82"/>
      <c r="AB168" s="82"/>
      <c r="AC168" s="82"/>
      <c r="AD168" s="82"/>
      <c r="AE168" s="82">
        <v>1</v>
      </c>
      <c r="AF168" s="81">
        <v>2</v>
      </c>
      <c r="AG168" s="81">
        <v>2</v>
      </c>
      <c r="AH168" s="49"/>
      <c r="AI168" s="50"/>
      <c r="AJ168" s="49"/>
      <c r="AK168" s="50"/>
      <c r="AL168" s="49"/>
      <c r="AM168" s="50"/>
      <c r="AN168" s="49"/>
      <c r="AO168" s="50"/>
      <c r="AP168" s="49"/>
    </row>
    <row r="169" spans="1:42" ht="15">
      <c r="A169" s="66" t="s">
        <v>388</v>
      </c>
      <c r="B169" s="66" t="s">
        <v>388</v>
      </c>
      <c r="C169" s="67" t="s">
        <v>404</v>
      </c>
      <c r="D169" s="68">
        <v>3</v>
      </c>
      <c r="E169" s="69"/>
      <c r="F169" s="70">
        <v>40</v>
      </c>
      <c r="G169" s="67"/>
      <c r="H169" s="71"/>
      <c r="I169" s="72"/>
      <c r="J169" s="72"/>
      <c r="K169" s="35" t="s">
        <v>65</v>
      </c>
      <c r="L169" s="80">
        <v>169</v>
      </c>
      <c r="M169" s="80"/>
      <c r="N169" s="74"/>
      <c r="O169" s="82" t="s">
        <v>407</v>
      </c>
      <c r="P169" s="82"/>
      <c r="Q169" s="82"/>
      <c r="R169" s="82"/>
      <c r="S169" s="82"/>
      <c r="T169" s="82"/>
      <c r="U169" s="82"/>
      <c r="V169" s="82" t="s">
        <v>720</v>
      </c>
      <c r="W169" s="84" t="str">
        <f>HYPERLINK("https://www.youtube.com/watch?v=-f9rpzRJDf4")</f>
        <v>https://www.youtube.com/watch?v=-f9rpzRJDf4</v>
      </c>
      <c r="X169" s="82"/>
      <c r="Y169" s="82"/>
      <c r="Z169" s="86">
        <v>43116.320289351854</v>
      </c>
      <c r="AA169" s="82"/>
      <c r="AB169" s="82"/>
      <c r="AC169" s="82"/>
      <c r="AD169" s="82"/>
      <c r="AE169" s="82">
        <v>1</v>
      </c>
      <c r="AF169" s="81">
        <v>2</v>
      </c>
      <c r="AG169" s="81">
        <v>2</v>
      </c>
      <c r="AH169" s="49"/>
      <c r="AI169" s="50"/>
      <c r="AJ169" s="49"/>
      <c r="AK169" s="50"/>
      <c r="AL169" s="49"/>
      <c r="AM169" s="50"/>
      <c r="AN169" s="49"/>
      <c r="AO169" s="50"/>
      <c r="AP169" s="49"/>
    </row>
    <row r="170" spans="1:42" ht="15">
      <c r="A170" s="66" t="s">
        <v>389</v>
      </c>
      <c r="B170" s="66" t="s">
        <v>389</v>
      </c>
      <c r="C170" s="67" t="s">
        <v>404</v>
      </c>
      <c r="D170" s="68">
        <v>3</v>
      </c>
      <c r="E170" s="69"/>
      <c r="F170" s="70">
        <v>40</v>
      </c>
      <c r="G170" s="67"/>
      <c r="H170" s="71"/>
      <c r="I170" s="72"/>
      <c r="J170" s="72"/>
      <c r="K170" s="35" t="s">
        <v>65</v>
      </c>
      <c r="L170" s="80">
        <v>170</v>
      </c>
      <c r="M170" s="80"/>
      <c r="N170" s="74"/>
      <c r="O170" s="82" t="s">
        <v>407</v>
      </c>
      <c r="P170" s="82"/>
      <c r="Q170" s="82"/>
      <c r="R170" s="82"/>
      <c r="S170" s="82"/>
      <c r="T170" s="82"/>
      <c r="U170" s="82"/>
      <c r="V170" s="82" t="s">
        <v>721</v>
      </c>
      <c r="W170" s="84" t="str">
        <f>HYPERLINK("https://www.youtube.com/watch?v=4YhSUuzJnu0")</f>
        <v>https://www.youtube.com/watch?v=4YhSUuzJnu0</v>
      </c>
      <c r="X170" s="82"/>
      <c r="Y170" s="82"/>
      <c r="Z170" s="86">
        <v>42886.20731481481</v>
      </c>
      <c r="AA170" s="82"/>
      <c r="AB170" s="82"/>
      <c r="AC170" s="82"/>
      <c r="AD170" s="82"/>
      <c r="AE170" s="82">
        <v>1</v>
      </c>
      <c r="AF170" s="81">
        <v>2</v>
      </c>
      <c r="AG170" s="81">
        <v>2</v>
      </c>
      <c r="AH170" s="49"/>
      <c r="AI170" s="50"/>
      <c r="AJ170" s="49"/>
      <c r="AK170" s="50"/>
      <c r="AL170" s="49"/>
      <c r="AM170" s="50"/>
      <c r="AN170" s="49"/>
      <c r="AO170" s="50"/>
      <c r="AP170" s="49"/>
    </row>
    <row r="171" spans="1:42" ht="15">
      <c r="A171" s="66" t="s">
        <v>390</v>
      </c>
      <c r="B171" s="66" t="s">
        <v>390</v>
      </c>
      <c r="C171" s="67" t="s">
        <v>404</v>
      </c>
      <c r="D171" s="68">
        <v>3</v>
      </c>
      <c r="E171" s="69"/>
      <c r="F171" s="70">
        <v>40</v>
      </c>
      <c r="G171" s="67"/>
      <c r="H171" s="71"/>
      <c r="I171" s="72"/>
      <c r="J171" s="72"/>
      <c r="K171" s="35" t="s">
        <v>65</v>
      </c>
      <c r="L171" s="80">
        <v>171</v>
      </c>
      <c r="M171" s="80"/>
      <c r="N171" s="74"/>
      <c r="O171" s="82" t="s">
        <v>407</v>
      </c>
      <c r="P171" s="82"/>
      <c r="Q171" s="82"/>
      <c r="R171" s="82"/>
      <c r="S171" s="82"/>
      <c r="T171" s="82"/>
      <c r="U171" s="82"/>
      <c r="V171" s="82" t="s">
        <v>722</v>
      </c>
      <c r="W171" s="84" t="str">
        <f>HYPERLINK("https://www.youtube.com/watch?v=8X0545SNOc0")</f>
        <v>https://www.youtube.com/watch?v=8X0545SNOc0</v>
      </c>
      <c r="X171" s="82"/>
      <c r="Y171" s="82"/>
      <c r="Z171" s="86">
        <v>44939.819236111114</v>
      </c>
      <c r="AA171" s="82"/>
      <c r="AB171" s="82"/>
      <c r="AC171" s="82"/>
      <c r="AD171" s="82"/>
      <c r="AE171" s="82">
        <v>1</v>
      </c>
      <c r="AF171" s="81">
        <v>2</v>
      </c>
      <c r="AG171" s="81">
        <v>2</v>
      </c>
      <c r="AH171" s="49"/>
      <c r="AI171" s="50"/>
      <c r="AJ171" s="49"/>
      <c r="AK171" s="50"/>
      <c r="AL171" s="49"/>
      <c r="AM171" s="50"/>
      <c r="AN171" s="49"/>
      <c r="AO171" s="50"/>
      <c r="AP171" s="49"/>
    </row>
    <row r="172" spans="1:42" ht="15">
      <c r="A172" s="66" t="s">
        <v>391</v>
      </c>
      <c r="B172" s="66" t="s">
        <v>391</v>
      </c>
      <c r="C172" s="67" t="s">
        <v>404</v>
      </c>
      <c r="D172" s="68">
        <v>3</v>
      </c>
      <c r="E172" s="69"/>
      <c r="F172" s="70">
        <v>40</v>
      </c>
      <c r="G172" s="67"/>
      <c r="H172" s="71"/>
      <c r="I172" s="72"/>
      <c r="J172" s="72"/>
      <c r="K172" s="35" t="s">
        <v>65</v>
      </c>
      <c r="L172" s="80">
        <v>172</v>
      </c>
      <c r="M172" s="80"/>
      <c r="N172" s="74"/>
      <c r="O172" s="82" t="s">
        <v>407</v>
      </c>
      <c r="P172" s="82"/>
      <c r="Q172" s="82"/>
      <c r="R172" s="82"/>
      <c r="S172" s="82"/>
      <c r="T172" s="82"/>
      <c r="U172" s="82"/>
      <c r="V172" s="82" t="s">
        <v>723</v>
      </c>
      <c r="W172" s="84" t="str">
        <f>HYPERLINK("https://www.youtube.com/watch?v=cVB8q3dISPw")</f>
        <v>https://www.youtube.com/watch?v=cVB8q3dISPw</v>
      </c>
      <c r="X172" s="82"/>
      <c r="Y172" s="82"/>
      <c r="Z172" s="86">
        <v>45183.6415162037</v>
      </c>
      <c r="AA172" s="82"/>
      <c r="AB172" s="82"/>
      <c r="AC172" s="82"/>
      <c r="AD172" s="82"/>
      <c r="AE172" s="82">
        <v>1</v>
      </c>
      <c r="AF172" s="81">
        <v>2</v>
      </c>
      <c r="AG172" s="81">
        <v>2</v>
      </c>
      <c r="AH172" s="49"/>
      <c r="AI172" s="50"/>
      <c r="AJ172" s="49"/>
      <c r="AK172" s="50"/>
      <c r="AL172" s="49"/>
      <c r="AM172" s="50"/>
      <c r="AN172" s="49"/>
      <c r="AO172" s="50"/>
      <c r="AP172" s="49"/>
    </row>
    <row r="173" spans="1:42" ht="15">
      <c r="A173" s="66" t="s">
        <v>392</v>
      </c>
      <c r="B173" s="66" t="s">
        <v>392</v>
      </c>
      <c r="C173" s="67" t="s">
        <v>404</v>
      </c>
      <c r="D173" s="68">
        <v>3</v>
      </c>
      <c r="E173" s="69"/>
      <c r="F173" s="70">
        <v>40</v>
      </c>
      <c r="G173" s="67"/>
      <c r="H173" s="71"/>
      <c r="I173" s="72"/>
      <c r="J173" s="72"/>
      <c r="K173" s="35" t="s">
        <v>65</v>
      </c>
      <c r="L173" s="80">
        <v>173</v>
      </c>
      <c r="M173" s="80"/>
      <c r="N173" s="74"/>
      <c r="O173" s="82" t="s">
        <v>407</v>
      </c>
      <c r="P173" s="82"/>
      <c r="Q173" s="82"/>
      <c r="R173" s="82"/>
      <c r="S173" s="82"/>
      <c r="T173" s="82"/>
      <c r="U173" s="82"/>
      <c r="V173" s="82" t="s">
        <v>724</v>
      </c>
      <c r="W173" s="84" t="str">
        <f>HYPERLINK("https://www.youtube.com/watch?v=2gS9hZ0RBqY")</f>
        <v>https://www.youtube.com/watch?v=2gS9hZ0RBqY</v>
      </c>
      <c r="X173" s="82"/>
      <c r="Y173" s="82"/>
      <c r="Z173" s="86">
        <v>44985.91480324074</v>
      </c>
      <c r="AA173" s="82"/>
      <c r="AB173" s="82"/>
      <c r="AC173" s="82"/>
      <c r="AD173" s="82"/>
      <c r="AE173" s="82">
        <v>1</v>
      </c>
      <c r="AF173" s="81">
        <v>2</v>
      </c>
      <c r="AG173" s="81">
        <v>2</v>
      </c>
      <c r="AH173" s="49"/>
      <c r="AI173" s="50"/>
      <c r="AJ173" s="49"/>
      <c r="AK173" s="50"/>
      <c r="AL173" s="49"/>
      <c r="AM173" s="50"/>
      <c r="AN173" s="49"/>
      <c r="AO173" s="50"/>
      <c r="AP173" s="49"/>
    </row>
    <row r="174" spans="1:42" ht="15">
      <c r="A174" s="66" t="s">
        <v>393</v>
      </c>
      <c r="B174" s="66" t="s">
        <v>393</v>
      </c>
      <c r="C174" s="67" t="s">
        <v>404</v>
      </c>
      <c r="D174" s="68">
        <v>3</v>
      </c>
      <c r="E174" s="69"/>
      <c r="F174" s="70">
        <v>40</v>
      </c>
      <c r="G174" s="67"/>
      <c r="H174" s="71"/>
      <c r="I174" s="72"/>
      <c r="J174" s="72"/>
      <c r="K174" s="35" t="s">
        <v>65</v>
      </c>
      <c r="L174" s="80">
        <v>174</v>
      </c>
      <c r="M174" s="80"/>
      <c r="N174" s="74"/>
      <c r="O174" s="82" t="s">
        <v>407</v>
      </c>
      <c r="P174" s="82"/>
      <c r="Q174" s="82"/>
      <c r="R174" s="82"/>
      <c r="S174" s="82"/>
      <c r="T174" s="82"/>
      <c r="U174" s="82"/>
      <c r="V174" s="82" t="s">
        <v>725</v>
      </c>
      <c r="W174" s="84" t="str">
        <f>HYPERLINK("https://www.youtube.com/watch?v=VZV8PAy7MGI")</f>
        <v>https://www.youtube.com/watch?v=VZV8PAy7MGI</v>
      </c>
      <c r="X174" s="82"/>
      <c r="Y174" s="82"/>
      <c r="Z174" s="86">
        <v>44216.56068287037</v>
      </c>
      <c r="AA174" s="82"/>
      <c r="AB174" s="82"/>
      <c r="AC174" s="82"/>
      <c r="AD174" s="82"/>
      <c r="AE174" s="82">
        <v>1</v>
      </c>
      <c r="AF174" s="81">
        <v>2</v>
      </c>
      <c r="AG174" s="81">
        <v>2</v>
      </c>
      <c r="AH174" s="49"/>
      <c r="AI174" s="50"/>
      <c r="AJ174" s="49"/>
      <c r="AK174" s="50"/>
      <c r="AL174" s="49"/>
      <c r="AM174" s="50"/>
      <c r="AN174" s="49"/>
      <c r="AO174" s="50"/>
      <c r="AP174" s="49"/>
    </row>
    <row r="175" spans="1:42" ht="15">
      <c r="A175" s="66" t="s">
        <v>394</v>
      </c>
      <c r="B175" s="66" t="s">
        <v>394</v>
      </c>
      <c r="C175" s="67" t="s">
        <v>404</v>
      </c>
      <c r="D175" s="68">
        <v>3</v>
      </c>
      <c r="E175" s="69"/>
      <c r="F175" s="70">
        <v>40</v>
      </c>
      <c r="G175" s="67"/>
      <c r="H175" s="71"/>
      <c r="I175" s="72"/>
      <c r="J175" s="72"/>
      <c r="K175" s="35" t="s">
        <v>65</v>
      </c>
      <c r="L175" s="80">
        <v>175</v>
      </c>
      <c r="M175" s="80"/>
      <c r="N175" s="74"/>
      <c r="O175" s="82" t="s">
        <v>407</v>
      </c>
      <c r="P175" s="82"/>
      <c r="Q175" s="82"/>
      <c r="R175" s="82"/>
      <c r="S175" s="82"/>
      <c r="T175" s="82"/>
      <c r="U175" s="82"/>
      <c r="V175" s="82" t="s">
        <v>726</v>
      </c>
      <c r="W175" s="84" t="str">
        <f>HYPERLINK("https://www.youtube.com/watch?v=TqFT83I_uFo")</f>
        <v>https://www.youtube.com/watch?v=TqFT83I_uFo</v>
      </c>
      <c r="X175" s="82"/>
      <c r="Y175" s="82"/>
      <c r="Z175" s="86">
        <v>45150.34630787037</v>
      </c>
      <c r="AA175" s="82"/>
      <c r="AB175" s="82"/>
      <c r="AC175" s="82"/>
      <c r="AD175" s="82"/>
      <c r="AE175" s="82">
        <v>1</v>
      </c>
      <c r="AF175" s="81">
        <v>2</v>
      </c>
      <c r="AG175" s="81">
        <v>2</v>
      </c>
      <c r="AH175" s="49"/>
      <c r="AI175" s="50"/>
      <c r="AJ175" s="49"/>
      <c r="AK175" s="50"/>
      <c r="AL175" s="49"/>
      <c r="AM175" s="50"/>
      <c r="AN175" s="49"/>
      <c r="AO175" s="50"/>
      <c r="AP175" s="49"/>
    </row>
    <row r="176" spans="1:42" ht="15">
      <c r="A176" s="66" t="s">
        <v>395</v>
      </c>
      <c r="B176" s="66" t="s">
        <v>395</v>
      </c>
      <c r="C176" s="67" t="s">
        <v>404</v>
      </c>
      <c r="D176" s="68">
        <v>3</v>
      </c>
      <c r="E176" s="69"/>
      <c r="F176" s="70">
        <v>40</v>
      </c>
      <c r="G176" s="67"/>
      <c r="H176" s="71"/>
      <c r="I176" s="72"/>
      <c r="J176" s="72"/>
      <c r="K176" s="35" t="s">
        <v>65</v>
      </c>
      <c r="L176" s="80">
        <v>176</v>
      </c>
      <c r="M176" s="80"/>
      <c r="N176" s="74"/>
      <c r="O176" s="82" t="s">
        <v>407</v>
      </c>
      <c r="P176" s="82"/>
      <c r="Q176" s="82"/>
      <c r="R176" s="82"/>
      <c r="S176" s="82"/>
      <c r="T176" s="82"/>
      <c r="U176" s="82"/>
      <c r="V176" s="82" t="s">
        <v>727</v>
      </c>
      <c r="W176" s="84" t="str">
        <f>HYPERLINK("https://www.youtube.com/watch?v=aXaq71EcPU4")</f>
        <v>https://www.youtube.com/watch?v=aXaq71EcPU4</v>
      </c>
      <c r="X176" s="82"/>
      <c r="Y176" s="82"/>
      <c r="Z176" s="86">
        <v>42998.84554398148</v>
      </c>
      <c r="AA176" s="82"/>
      <c r="AB176" s="82"/>
      <c r="AC176" s="82"/>
      <c r="AD176" s="82"/>
      <c r="AE176" s="82">
        <v>1</v>
      </c>
      <c r="AF176" s="81">
        <v>2</v>
      </c>
      <c r="AG176" s="81">
        <v>2</v>
      </c>
      <c r="AH176" s="49"/>
      <c r="AI176" s="50"/>
      <c r="AJ176" s="49"/>
      <c r="AK176" s="50"/>
      <c r="AL176" s="49"/>
      <c r="AM176" s="50"/>
      <c r="AN176" s="49"/>
      <c r="AO176" s="50"/>
      <c r="AP176" s="49"/>
    </row>
    <row r="177" spans="1:42" ht="15">
      <c r="A177" s="66" t="s">
        <v>396</v>
      </c>
      <c r="B177" s="66" t="s">
        <v>396</v>
      </c>
      <c r="C177" s="67" t="s">
        <v>404</v>
      </c>
      <c r="D177" s="68">
        <v>3</v>
      </c>
      <c r="E177" s="69"/>
      <c r="F177" s="70">
        <v>40</v>
      </c>
      <c r="G177" s="67"/>
      <c r="H177" s="71"/>
      <c r="I177" s="72"/>
      <c r="J177" s="72"/>
      <c r="K177" s="35" t="s">
        <v>65</v>
      </c>
      <c r="L177" s="80">
        <v>177</v>
      </c>
      <c r="M177" s="80"/>
      <c r="N177" s="74"/>
      <c r="O177" s="82" t="s">
        <v>407</v>
      </c>
      <c r="P177" s="82"/>
      <c r="Q177" s="82"/>
      <c r="R177" s="82"/>
      <c r="S177" s="82"/>
      <c r="T177" s="82"/>
      <c r="U177" s="82"/>
      <c r="V177" s="82" t="s">
        <v>728</v>
      </c>
      <c r="W177" s="84" t="str">
        <f>HYPERLINK("https://www.youtube.com/watch?v=JYeual3sT28")</f>
        <v>https://www.youtube.com/watch?v=JYeual3sT28</v>
      </c>
      <c r="X177" s="82"/>
      <c r="Y177" s="82"/>
      <c r="Z177" s="86">
        <v>44937.866585648146</v>
      </c>
      <c r="AA177" s="82"/>
      <c r="AB177" s="82"/>
      <c r="AC177" s="82"/>
      <c r="AD177" s="82"/>
      <c r="AE177" s="82">
        <v>1</v>
      </c>
      <c r="AF177" s="81">
        <v>2</v>
      </c>
      <c r="AG177" s="81">
        <v>2</v>
      </c>
      <c r="AH177" s="49"/>
      <c r="AI177" s="50"/>
      <c r="AJ177" s="49"/>
      <c r="AK177" s="50"/>
      <c r="AL177" s="49"/>
      <c r="AM177" s="50"/>
      <c r="AN177" s="49"/>
      <c r="AO177" s="50"/>
      <c r="AP177" s="49"/>
    </row>
    <row r="178" spans="1:42" ht="15">
      <c r="A178" s="66" t="s">
        <v>397</v>
      </c>
      <c r="B178" s="66" t="s">
        <v>397</v>
      </c>
      <c r="C178" s="67" t="s">
        <v>1783</v>
      </c>
      <c r="D178" s="68">
        <v>3</v>
      </c>
      <c r="E178" s="69"/>
      <c r="F178" s="70">
        <v>40</v>
      </c>
      <c r="G178" s="67"/>
      <c r="H178" s="71"/>
      <c r="I178" s="72"/>
      <c r="J178" s="72"/>
      <c r="K178" s="35" t="s">
        <v>65</v>
      </c>
      <c r="L178" s="80">
        <v>178</v>
      </c>
      <c r="M178" s="80"/>
      <c r="N178" s="74"/>
      <c r="O178" s="82" t="s">
        <v>407</v>
      </c>
      <c r="P178" s="82"/>
      <c r="Q178" s="82"/>
      <c r="R178" s="82"/>
      <c r="S178" s="82"/>
      <c r="T178" s="82"/>
      <c r="U178" s="82"/>
      <c r="V178" s="82" t="s">
        <v>729</v>
      </c>
      <c r="W178" s="84" t="str">
        <f>HYPERLINK("https://www.youtube.com/watch?v=zJx3sAa2WEQ")</f>
        <v>https://www.youtube.com/watch?v=zJx3sAa2WEQ</v>
      </c>
      <c r="X178" s="82"/>
      <c r="Y178" s="82"/>
      <c r="Z178" s="86">
        <v>44814.16517361111</v>
      </c>
      <c r="AA178" s="82"/>
      <c r="AB178" s="82"/>
      <c r="AC178" s="82"/>
      <c r="AD178" s="82"/>
      <c r="AE178" s="82">
        <v>4</v>
      </c>
      <c r="AF178" s="81">
        <v>2</v>
      </c>
      <c r="AG178" s="81">
        <v>2</v>
      </c>
      <c r="AH178" s="49"/>
      <c r="AI178" s="50"/>
      <c r="AJ178" s="49"/>
      <c r="AK178" s="50"/>
      <c r="AL178" s="49"/>
      <c r="AM178" s="50"/>
      <c r="AN178" s="49"/>
      <c r="AO178" s="50"/>
      <c r="AP178" s="49"/>
    </row>
    <row r="179" spans="1:42" ht="15">
      <c r="A179" s="66" t="s">
        <v>398</v>
      </c>
      <c r="B179" s="66" t="s">
        <v>398</v>
      </c>
      <c r="C179" s="67" t="s">
        <v>404</v>
      </c>
      <c r="D179" s="68">
        <v>3</v>
      </c>
      <c r="E179" s="69"/>
      <c r="F179" s="70">
        <v>40</v>
      </c>
      <c r="G179" s="67"/>
      <c r="H179" s="71"/>
      <c r="I179" s="72"/>
      <c r="J179" s="72"/>
      <c r="K179" s="35" t="s">
        <v>65</v>
      </c>
      <c r="L179" s="80">
        <v>179</v>
      </c>
      <c r="M179" s="80"/>
      <c r="N179" s="74"/>
      <c r="O179" s="82" t="s">
        <v>407</v>
      </c>
      <c r="P179" s="82"/>
      <c r="Q179" s="82"/>
      <c r="R179" s="82"/>
      <c r="S179" s="82"/>
      <c r="T179" s="82"/>
      <c r="U179" s="82"/>
      <c r="V179" s="82" t="s">
        <v>730</v>
      </c>
      <c r="W179" s="84" t="str">
        <f>HYPERLINK("https://www.youtube.com/watch?v=XtgP-D04bAI")</f>
        <v>https://www.youtube.com/watch?v=XtgP-D04bAI</v>
      </c>
      <c r="X179" s="82"/>
      <c r="Y179" s="82"/>
      <c r="Z179" s="86">
        <v>44873.09104166667</v>
      </c>
      <c r="AA179" s="82"/>
      <c r="AB179" s="82"/>
      <c r="AC179" s="82"/>
      <c r="AD179" s="82"/>
      <c r="AE179" s="82">
        <v>1</v>
      </c>
      <c r="AF179" s="81">
        <v>2</v>
      </c>
      <c r="AG179" s="81">
        <v>2</v>
      </c>
      <c r="AH179" s="49"/>
      <c r="AI179" s="50"/>
      <c r="AJ179" s="49"/>
      <c r="AK179" s="50"/>
      <c r="AL179" s="49"/>
      <c r="AM179" s="50"/>
      <c r="AN179" s="49"/>
      <c r="AO179" s="50"/>
      <c r="AP179" s="49"/>
    </row>
    <row r="180" spans="1:42" ht="15">
      <c r="A180" s="66" t="s">
        <v>399</v>
      </c>
      <c r="B180" s="66" t="s">
        <v>399</v>
      </c>
      <c r="C180" s="67" t="s">
        <v>404</v>
      </c>
      <c r="D180" s="68">
        <v>3</v>
      </c>
      <c r="E180" s="69"/>
      <c r="F180" s="70">
        <v>40</v>
      </c>
      <c r="G180" s="67"/>
      <c r="H180" s="71"/>
      <c r="I180" s="72"/>
      <c r="J180" s="72"/>
      <c r="K180" s="35" t="s">
        <v>65</v>
      </c>
      <c r="L180" s="80">
        <v>180</v>
      </c>
      <c r="M180" s="80"/>
      <c r="N180" s="74"/>
      <c r="O180" s="82" t="s">
        <v>407</v>
      </c>
      <c r="P180" s="82"/>
      <c r="Q180" s="82"/>
      <c r="R180" s="82"/>
      <c r="S180" s="82"/>
      <c r="T180" s="82"/>
      <c r="U180" s="82"/>
      <c r="V180" s="82" t="s">
        <v>731</v>
      </c>
      <c r="W180" s="84" t="str">
        <f>HYPERLINK("https://www.youtube.com/watch?v=pGW2PLAsX7k")</f>
        <v>https://www.youtube.com/watch?v=pGW2PLAsX7k</v>
      </c>
      <c r="X180" s="82"/>
      <c r="Y180" s="82"/>
      <c r="Z180" s="86">
        <v>44394.11193287037</v>
      </c>
      <c r="AA180" s="82"/>
      <c r="AB180" s="82"/>
      <c r="AC180" s="82"/>
      <c r="AD180" s="82"/>
      <c r="AE180" s="82">
        <v>1</v>
      </c>
      <c r="AF180" s="81">
        <v>2</v>
      </c>
      <c r="AG180" s="81">
        <v>2</v>
      </c>
      <c r="AH180" s="49"/>
      <c r="AI180" s="50"/>
      <c r="AJ180" s="49"/>
      <c r="AK180" s="50"/>
      <c r="AL180" s="49"/>
      <c r="AM180" s="50"/>
      <c r="AN180" s="49"/>
      <c r="AO180" s="50"/>
      <c r="AP180" s="49"/>
    </row>
    <row r="181" spans="1:42" ht="15">
      <c r="A181" s="66" t="s">
        <v>400</v>
      </c>
      <c r="B181" s="66" t="s">
        <v>400</v>
      </c>
      <c r="C181" s="67" t="s">
        <v>404</v>
      </c>
      <c r="D181" s="68">
        <v>3</v>
      </c>
      <c r="E181" s="69"/>
      <c r="F181" s="70">
        <v>40</v>
      </c>
      <c r="G181" s="67"/>
      <c r="H181" s="71"/>
      <c r="I181" s="72"/>
      <c r="J181" s="72"/>
      <c r="K181" s="35" t="s">
        <v>65</v>
      </c>
      <c r="L181" s="80">
        <v>181</v>
      </c>
      <c r="M181" s="80"/>
      <c r="N181" s="74"/>
      <c r="O181" s="82" t="s">
        <v>407</v>
      </c>
      <c r="P181" s="82"/>
      <c r="Q181" s="82"/>
      <c r="R181" s="82"/>
      <c r="S181" s="82"/>
      <c r="T181" s="82"/>
      <c r="U181" s="82"/>
      <c r="V181" s="82" t="s">
        <v>732</v>
      </c>
      <c r="W181" s="84" t="str">
        <f>HYPERLINK("https://www.youtube.com/watch?v=RL2bROifAFs")</f>
        <v>https://www.youtube.com/watch?v=RL2bROifAFs</v>
      </c>
      <c r="X181" s="82"/>
      <c r="Y181" s="82"/>
      <c r="Z181" s="86">
        <v>44549.502754629626</v>
      </c>
      <c r="AA181" s="82"/>
      <c r="AB181" s="82"/>
      <c r="AC181" s="82"/>
      <c r="AD181" s="82"/>
      <c r="AE181" s="82">
        <v>1</v>
      </c>
      <c r="AF181" s="81">
        <v>2</v>
      </c>
      <c r="AG181" s="81">
        <v>2</v>
      </c>
      <c r="AH181" s="49"/>
      <c r="AI181" s="50"/>
      <c r="AJ181" s="49"/>
      <c r="AK181" s="50"/>
      <c r="AL181" s="49"/>
      <c r="AM181" s="50"/>
      <c r="AN181" s="49"/>
      <c r="AO181" s="50"/>
      <c r="AP181" s="49"/>
    </row>
    <row r="182" spans="1:42" ht="15">
      <c r="A182" s="66" t="s">
        <v>401</v>
      </c>
      <c r="B182" s="66" t="s">
        <v>401</v>
      </c>
      <c r="C182" s="67" t="s">
        <v>1783</v>
      </c>
      <c r="D182" s="68">
        <v>3</v>
      </c>
      <c r="E182" s="69"/>
      <c r="F182" s="70">
        <v>40</v>
      </c>
      <c r="G182" s="67"/>
      <c r="H182" s="71"/>
      <c r="I182" s="72"/>
      <c r="J182" s="72"/>
      <c r="K182" s="35" t="s">
        <v>65</v>
      </c>
      <c r="L182" s="80">
        <v>182</v>
      </c>
      <c r="M182" s="80"/>
      <c r="N182" s="74"/>
      <c r="O182" s="82" t="s">
        <v>407</v>
      </c>
      <c r="P182" s="82"/>
      <c r="Q182" s="82"/>
      <c r="R182" s="82"/>
      <c r="S182" s="82"/>
      <c r="T182" s="82"/>
      <c r="U182" s="82"/>
      <c r="V182" s="82" t="s">
        <v>733</v>
      </c>
      <c r="W182" s="84" t="str">
        <f>HYPERLINK("https://www.youtube.com/watch?v=Fh4N2pBMuaE")</f>
        <v>https://www.youtube.com/watch?v=Fh4N2pBMuaE</v>
      </c>
      <c r="X182" s="82"/>
      <c r="Y182" s="82"/>
      <c r="Z182" s="86">
        <v>44230.913819444446</v>
      </c>
      <c r="AA182" s="82"/>
      <c r="AB182" s="82"/>
      <c r="AC182" s="82"/>
      <c r="AD182" s="82"/>
      <c r="AE182" s="82">
        <v>4</v>
      </c>
      <c r="AF182" s="81">
        <v>2</v>
      </c>
      <c r="AG182" s="81">
        <v>2</v>
      </c>
      <c r="AH182" s="49"/>
      <c r="AI182" s="50"/>
      <c r="AJ182" s="49"/>
      <c r="AK182" s="50"/>
      <c r="AL182" s="49"/>
      <c r="AM182" s="50"/>
      <c r="AN182" s="49"/>
      <c r="AO182" s="50"/>
      <c r="AP182" s="49"/>
    </row>
    <row r="183" spans="1:42" ht="15">
      <c r="A183" s="66" t="s">
        <v>402</v>
      </c>
      <c r="B183" s="66" t="s">
        <v>402</v>
      </c>
      <c r="C183" s="67" t="s">
        <v>404</v>
      </c>
      <c r="D183" s="68">
        <v>3</v>
      </c>
      <c r="E183" s="69"/>
      <c r="F183" s="70">
        <v>40</v>
      </c>
      <c r="G183" s="67"/>
      <c r="H183" s="71"/>
      <c r="I183" s="72"/>
      <c r="J183" s="72"/>
      <c r="K183" s="35" t="s">
        <v>65</v>
      </c>
      <c r="L183" s="80">
        <v>183</v>
      </c>
      <c r="M183" s="80"/>
      <c r="N183" s="74"/>
      <c r="O183" s="82" t="s">
        <v>407</v>
      </c>
      <c r="P183" s="82"/>
      <c r="Q183" s="82"/>
      <c r="R183" s="82"/>
      <c r="S183" s="82"/>
      <c r="T183" s="82"/>
      <c r="U183" s="82"/>
      <c r="V183" s="82" t="s">
        <v>734</v>
      </c>
      <c r="W183" s="84" t="str">
        <f>HYPERLINK("https://www.youtube.com/watch?v=UZH2OU7E0Nc")</f>
        <v>https://www.youtube.com/watch?v=UZH2OU7E0Nc</v>
      </c>
      <c r="X183" s="82"/>
      <c r="Y183" s="82"/>
      <c r="Z183" s="86">
        <v>45143.98652777778</v>
      </c>
      <c r="AA183" s="82"/>
      <c r="AB183" s="82"/>
      <c r="AC183" s="82"/>
      <c r="AD183" s="82"/>
      <c r="AE183" s="82">
        <v>1</v>
      </c>
      <c r="AF183" s="81">
        <v>2</v>
      </c>
      <c r="AG183" s="81">
        <v>2</v>
      </c>
      <c r="AH183" s="49"/>
      <c r="AI183" s="50"/>
      <c r="AJ183" s="49"/>
      <c r="AK183" s="50"/>
      <c r="AL183" s="49"/>
      <c r="AM183" s="50"/>
      <c r="AN183" s="49"/>
      <c r="AO183" s="50"/>
      <c r="AP18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5D55-3498-40FB-AB60-43B79621D61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1541</v>
      </c>
      <c r="B2" s="112" t="s">
        <v>1542</v>
      </c>
      <c r="C2" s="54" t="s">
        <v>1543</v>
      </c>
    </row>
    <row r="3" spans="1:3" ht="15">
      <c r="A3" s="111" t="s">
        <v>1319</v>
      </c>
      <c r="B3" s="111" t="s">
        <v>1319</v>
      </c>
      <c r="C3" s="35">
        <v>93</v>
      </c>
    </row>
    <row r="4" spans="1:3" ht="15">
      <c r="A4" s="111" t="s">
        <v>1320</v>
      </c>
      <c r="B4" s="120" t="s">
        <v>1320</v>
      </c>
      <c r="C4" s="35">
        <v>29</v>
      </c>
    </row>
    <row r="5" spans="1:3" ht="15">
      <c r="A5" s="111" t="s">
        <v>1321</v>
      </c>
      <c r="B5" s="120" t="s">
        <v>1321</v>
      </c>
      <c r="C5" s="35">
        <v>23</v>
      </c>
    </row>
    <row r="6" spans="1:3" ht="15">
      <c r="A6" s="111" t="s">
        <v>1322</v>
      </c>
      <c r="B6" s="120" t="s">
        <v>1322</v>
      </c>
      <c r="C6" s="35">
        <v>7</v>
      </c>
    </row>
    <row r="7" spans="1:3" ht="15">
      <c r="A7" s="111" t="s">
        <v>1323</v>
      </c>
      <c r="B7" s="120" t="s">
        <v>1323</v>
      </c>
      <c r="C7" s="35">
        <v>6</v>
      </c>
    </row>
    <row r="8" spans="1:3" ht="15">
      <c r="A8" s="111" t="s">
        <v>1324</v>
      </c>
      <c r="B8" s="120" t="s">
        <v>1324</v>
      </c>
      <c r="C8" s="35">
        <v>5</v>
      </c>
    </row>
    <row r="9" spans="1:3" ht="15">
      <c r="A9" s="111" t="s">
        <v>1325</v>
      </c>
      <c r="B9" s="120" t="s">
        <v>1325</v>
      </c>
      <c r="C9" s="35">
        <v>4</v>
      </c>
    </row>
    <row r="10" spans="1:3" ht="15">
      <c r="A10" s="111" t="s">
        <v>1326</v>
      </c>
      <c r="B10" s="120" t="s">
        <v>1326</v>
      </c>
      <c r="C10" s="35">
        <v>3</v>
      </c>
    </row>
    <row r="11" spans="1:3" ht="15">
      <c r="A11" s="111" t="s">
        <v>1327</v>
      </c>
      <c r="B11" s="120" t="s">
        <v>1327</v>
      </c>
      <c r="C11" s="35">
        <v>3</v>
      </c>
    </row>
    <row r="12" spans="1:3" ht="15">
      <c r="A12" s="111" t="s">
        <v>1328</v>
      </c>
      <c r="B12" s="120" t="s">
        <v>1328</v>
      </c>
      <c r="C12" s="35">
        <v>2</v>
      </c>
    </row>
    <row r="13" spans="1:3" ht="15">
      <c r="A13" s="111" t="s">
        <v>1329</v>
      </c>
      <c r="B13" s="120" t="s">
        <v>1329</v>
      </c>
      <c r="C13" s="35">
        <v>2</v>
      </c>
    </row>
    <row r="14" spans="1:3" ht="15">
      <c r="A14" s="111" t="s">
        <v>1330</v>
      </c>
      <c r="B14" s="120" t="s">
        <v>1330</v>
      </c>
      <c r="C14" s="35">
        <v>2</v>
      </c>
    </row>
    <row r="15" spans="1:3" ht="15">
      <c r="A15" s="121" t="s">
        <v>1331</v>
      </c>
      <c r="B15" s="120" t="s">
        <v>1331</v>
      </c>
      <c r="C1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8405-29BD-4F2D-BBB2-AB094AD15F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1564</v>
      </c>
      <c r="B1" s="13" t="s">
        <v>17</v>
      </c>
    </row>
    <row r="2" spans="1:2" ht="15">
      <c r="A2" s="81" t="s">
        <v>1565</v>
      </c>
      <c r="B2" s="81"/>
    </row>
    <row r="3" spans="1:2" ht="15">
      <c r="A3" s="82" t="s">
        <v>1566</v>
      </c>
      <c r="B3" s="81"/>
    </row>
    <row r="4" spans="1:2" ht="15">
      <c r="A4" s="82" t="s">
        <v>1567</v>
      </c>
      <c r="B4" s="81"/>
    </row>
    <row r="5" spans="1:2" ht="15">
      <c r="A5" s="82" t="s">
        <v>1568</v>
      </c>
      <c r="B5" s="81"/>
    </row>
    <row r="6" spans="1:2" ht="15">
      <c r="A6" s="82" t="s">
        <v>1569</v>
      </c>
      <c r="B6" s="81"/>
    </row>
    <row r="7" spans="1:2" ht="15">
      <c r="A7" s="82" t="s">
        <v>1570</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7895-A312-4E53-9C3F-19B4B7308C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1571</v>
      </c>
      <c r="B1" s="13" t="s">
        <v>34</v>
      </c>
    </row>
    <row r="2" spans="1:2" ht="15">
      <c r="A2" s="105" t="s">
        <v>372</v>
      </c>
      <c r="B2" s="81">
        <v>8372</v>
      </c>
    </row>
    <row r="3" spans="1:2" ht="15">
      <c r="A3" s="114" t="s">
        <v>265</v>
      </c>
      <c r="B3" s="81">
        <v>462</v>
      </c>
    </row>
    <row r="4" spans="1:2" ht="15">
      <c r="A4" s="114" t="s">
        <v>251</v>
      </c>
      <c r="B4" s="81">
        <v>30</v>
      </c>
    </row>
    <row r="5" spans="1:2" ht="15">
      <c r="A5" s="114" t="s">
        <v>242</v>
      </c>
      <c r="B5" s="81">
        <v>20</v>
      </c>
    </row>
    <row r="6" spans="1:2" ht="15">
      <c r="A6" s="114" t="s">
        <v>270</v>
      </c>
      <c r="B6" s="81">
        <v>12</v>
      </c>
    </row>
    <row r="7" spans="1:2" ht="15">
      <c r="A7" s="114" t="s">
        <v>279</v>
      </c>
      <c r="B7" s="81">
        <v>6</v>
      </c>
    </row>
    <row r="8" spans="1:2" ht="15">
      <c r="A8" s="114" t="s">
        <v>254</v>
      </c>
      <c r="B8" s="81">
        <v>2</v>
      </c>
    </row>
    <row r="9" spans="1:2" ht="15">
      <c r="A9" s="114" t="s">
        <v>275</v>
      </c>
      <c r="B9" s="81">
        <v>2</v>
      </c>
    </row>
    <row r="10" spans="1:2" ht="15">
      <c r="A10" s="114" t="s">
        <v>343</v>
      </c>
      <c r="B10" s="81">
        <v>0</v>
      </c>
    </row>
    <row r="11" spans="1:2" ht="15">
      <c r="A11" s="114" t="s">
        <v>344</v>
      </c>
      <c r="B11" s="81">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6A78-CA82-4415-B112-096965D3519B}">
  <dimension ref="A1:V39"/>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1572</v>
      </c>
      <c r="B1" s="13" t="s">
        <v>1576</v>
      </c>
      <c r="C1" s="13" t="s">
        <v>1577</v>
      </c>
      <c r="D1" s="13" t="s">
        <v>1579</v>
      </c>
      <c r="E1" s="81" t="s">
        <v>1578</v>
      </c>
      <c r="F1" s="81" t="s">
        <v>1581</v>
      </c>
      <c r="G1" s="81" t="s">
        <v>1580</v>
      </c>
      <c r="H1" s="81" t="s">
        <v>1583</v>
      </c>
      <c r="I1" s="81" t="s">
        <v>1582</v>
      </c>
      <c r="J1" s="81" t="s">
        <v>1585</v>
      </c>
      <c r="K1" s="81" t="s">
        <v>1584</v>
      </c>
      <c r="L1" s="81" t="s">
        <v>1587</v>
      </c>
      <c r="M1" s="13" t="s">
        <v>1586</v>
      </c>
      <c r="N1" s="13" t="s">
        <v>1589</v>
      </c>
      <c r="O1" s="13" t="s">
        <v>1588</v>
      </c>
      <c r="P1" s="13" t="s">
        <v>1591</v>
      </c>
      <c r="Q1" s="81" t="s">
        <v>1590</v>
      </c>
      <c r="R1" s="81" t="s">
        <v>1593</v>
      </c>
      <c r="S1" s="81" t="s">
        <v>1592</v>
      </c>
      <c r="T1" s="81" t="s">
        <v>1595</v>
      </c>
      <c r="U1" s="81" t="s">
        <v>1594</v>
      </c>
      <c r="V1" s="81" t="s">
        <v>1596</v>
      </c>
    </row>
    <row r="2" spans="1:22" ht="15">
      <c r="A2" s="83" t="s">
        <v>1573</v>
      </c>
      <c r="B2" s="81">
        <v>2</v>
      </c>
      <c r="C2" s="83" t="s">
        <v>1575</v>
      </c>
      <c r="D2" s="81">
        <v>1</v>
      </c>
      <c r="E2" s="81"/>
      <c r="F2" s="81"/>
      <c r="G2" s="81"/>
      <c r="H2" s="81"/>
      <c r="I2" s="81"/>
      <c r="J2" s="81"/>
      <c r="K2" s="81"/>
      <c r="L2" s="81"/>
      <c r="M2" s="83" t="s">
        <v>1574</v>
      </c>
      <c r="N2" s="81">
        <v>2</v>
      </c>
      <c r="O2" s="83" t="s">
        <v>1573</v>
      </c>
      <c r="P2" s="81">
        <v>2</v>
      </c>
      <c r="Q2" s="81"/>
      <c r="R2" s="81"/>
      <c r="S2" s="81"/>
      <c r="T2" s="81"/>
      <c r="U2" s="81"/>
      <c r="V2" s="81"/>
    </row>
    <row r="3" spans="1:22" ht="15">
      <c r="A3" s="84" t="s">
        <v>1574</v>
      </c>
      <c r="B3" s="81">
        <v>2</v>
      </c>
      <c r="C3" s="81"/>
      <c r="D3" s="81"/>
      <c r="E3" s="81"/>
      <c r="F3" s="81"/>
      <c r="G3" s="81"/>
      <c r="H3" s="81"/>
      <c r="I3" s="81"/>
      <c r="J3" s="81"/>
      <c r="K3" s="81"/>
      <c r="L3" s="81"/>
      <c r="M3" s="81"/>
      <c r="N3" s="81"/>
      <c r="O3" s="81"/>
      <c r="P3" s="81"/>
      <c r="Q3" s="81"/>
      <c r="R3" s="81"/>
      <c r="S3" s="81"/>
      <c r="T3" s="81"/>
      <c r="U3" s="81"/>
      <c r="V3" s="81"/>
    </row>
    <row r="4" spans="1:22" ht="15">
      <c r="A4" s="84" t="s">
        <v>1575</v>
      </c>
      <c r="B4" s="81">
        <v>1</v>
      </c>
      <c r="C4" s="81"/>
      <c r="D4" s="81"/>
      <c r="E4" s="81"/>
      <c r="F4" s="81"/>
      <c r="G4" s="81"/>
      <c r="H4" s="81"/>
      <c r="I4" s="81"/>
      <c r="J4" s="81"/>
      <c r="K4" s="81"/>
      <c r="L4" s="81"/>
      <c r="M4" s="81"/>
      <c r="N4" s="81"/>
      <c r="O4" s="81"/>
      <c r="P4" s="81"/>
      <c r="Q4" s="81"/>
      <c r="R4" s="81"/>
      <c r="S4" s="81"/>
      <c r="T4" s="81"/>
      <c r="U4" s="81"/>
      <c r="V4" s="81"/>
    </row>
    <row r="7" spans="1:22" ht="15" customHeight="1">
      <c r="A7" s="13" t="s">
        <v>1598</v>
      </c>
      <c r="B7" s="13" t="s">
        <v>1576</v>
      </c>
      <c r="C7" s="13" t="s">
        <v>1599</v>
      </c>
      <c r="D7" s="13" t="s">
        <v>1579</v>
      </c>
      <c r="E7" s="81" t="s">
        <v>1600</v>
      </c>
      <c r="F7" s="81" t="s">
        <v>1581</v>
      </c>
      <c r="G7" s="81" t="s">
        <v>1601</v>
      </c>
      <c r="H7" s="81" t="s">
        <v>1583</v>
      </c>
      <c r="I7" s="81" t="s">
        <v>1602</v>
      </c>
      <c r="J7" s="81" t="s">
        <v>1585</v>
      </c>
      <c r="K7" s="81" t="s">
        <v>1603</v>
      </c>
      <c r="L7" s="81" t="s">
        <v>1587</v>
      </c>
      <c r="M7" s="13" t="s">
        <v>1604</v>
      </c>
      <c r="N7" s="13" t="s">
        <v>1589</v>
      </c>
      <c r="O7" s="13" t="s">
        <v>1605</v>
      </c>
      <c r="P7" s="13" t="s">
        <v>1591</v>
      </c>
      <c r="Q7" s="81" t="s">
        <v>1606</v>
      </c>
      <c r="R7" s="81" t="s">
        <v>1593</v>
      </c>
      <c r="S7" s="81" t="s">
        <v>1607</v>
      </c>
      <c r="T7" s="81" t="s">
        <v>1595</v>
      </c>
      <c r="U7" s="81" t="s">
        <v>1608</v>
      </c>
      <c r="V7" s="81" t="s">
        <v>1596</v>
      </c>
    </row>
    <row r="8" spans="1:22" ht="15">
      <c r="A8" s="81" t="s">
        <v>1059</v>
      </c>
      <c r="B8" s="81">
        <v>2</v>
      </c>
      <c r="C8" s="81" t="s">
        <v>740</v>
      </c>
      <c r="D8" s="81">
        <v>1</v>
      </c>
      <c r="E8" s="81"/>
      <c r="F8" s="81"/>
      <c r="G8" s="81"/>
      <c r="H8" s="81"/>
      <c r="I8" s="81"/>
      <c r="J8" s="81"/>
      <c r="K8" s="81"/>
      <c r="L8" s="81"/>
      <c r="M8" s="81" t="s">
        <v>1058</v>
      </c>
      <c r="N8" s="81">
        <v>2</v>
      </c>
      <c r="O8" s="81" t="s">
        <v>1059</v>
      </c>
      <c r="P8" s="81">
        <v>2</v>
      </c>
      <c r="Q8" s="81"/>
      <c r="R8" s="81"/>
      <c r="S8" s="81"/>
      <c r="T8" s="81"/>
      <c r="U8" s="81"/>
      <c r="V8" s="81"/>
    </row>
    <row r="9" spans="1:22" ht="15">
      <c r="A9" s="82" t="s">
        <v>1058</v>
      </c>
      <c r="B9" s="81">
        <v>2</v>
      </c>
      <c r="C9" s="81"/>
      <c r="D9" s="81"/>
      <c r="E9" s="81"/>
      <c r="F9" s="81"/>
      <c r="G9" s="81"/>
      <c r="H9" s="81"/>
      <c r="I9" s="81"/>
      <c r="J9" s="81"/>
      <c r="K9" s="81"/>
      <c r="L9" s="81"/>
      <c r="M9" s="81"/>
      <c r="N9" s="81"/>
      <c r="O9" s="81"/>
      <c r="P9" s="81"/>
      <c r="Q9" s="81"/>
      <c r="R9" s="81"/>
      <c r="S9" s="81"/>
      <c r="T9" s="81"/>
      <c r="U9" s="81"/>
      <c r="V9" s="81"/>
    </row>
    <row r="10" spans="1:22" ht="15">
      <c r="A10" s="82" t="s">
        <v>740</v>
      </c>
      <c r="B10" s="81">
        <v>1</v>
      </c>
      <c r="C10" s="81"/>
      <c r="D10" s="81"/>
      <c r="E10" s="81"/>
      <c r="F10" s="81"/>
      <c r="G10" s="81"/>
      <c r="H10" s="81"/>
      <c r="I10" s="81"/>
      <c r="J10" s="81"/>
      <c r="K10" s="81"/>
      <c r="L10" s="81"/>
      <c r="M10" s="81"/>
      <c r="N10" s="81"/>
      <c r="O10" s="81"/>
      <c r="P10" s="81"/>
      <c r="Q10" s="81"/>
      <c r="R10" s="81"/>
      <c r="S10" s="81"/>
      <c r="T10" s="81"/>
      <c r="U10" s="81"/>
      <c r="V10" s="81"/>
    </row>
    <row r="13" spans="1:22" ht="15" customHeight="1">
      <c r="A13" s="81" t="s">
        <v>1610</v>
      </c>
      <c r="B13" s="81" t="s">
        <v>1576</v>
      </c>
      <c r="C13" s="81" t="s">
        <v>1611</v>
      </c>
      <c r="D13" s="81" t="s">
        <v>1579</v>
      </c>
      <c r="E13" s="81" t="s">
        <v>1612</v>
      </c>
      <c r="F13" s="81" t="s">
        <v>1581</v>
      </c>
      <c r="G13" s="81" t="s">
        <v>1613</v>
      </c>
      <c r="H13" s="81" t="s">
        <v>1583</v>
      </c>
      <c r="I13" s="81" t="s">
        <v>1614</v>
      </c>
      <c r="J13" s="81" t="s">
        <v>1585</v>
      </c>
      <c r="K13" s="81" t="s">
        <v>1615</v>
      </c>
      <c r="L13" s="81" t="s">
        <v>1587</v>
      </c>
      <c r="M13" s="81" t="s">
        <v>1616</v>
      </c>
      <c r="N13" s="81" t="s">
        <v>1589</v>
      </c>
      <c r="O13" s="81" t="s">
        <v>1617</v>
      </c>
      <c r="P13" s="81" t="s">
        <v>1591</v>
      </c>
      <c r="Q13" s="81" t="s">
        <v>1618</v>
      </c>
      <c r="R13" s="81" t="s">
        <v>1593</v>
      </c>
      <c r="S13" s="81" t="s">
        <v>1619</v>
      </c>
      <c r="T13" s="81" t="s">
        <v>1595</v>
      </c>
      <c r="U13" s="81" t="s">
        <v>1620</v>
      </c>
      <c r="V13" s="81" t="s">
        <v>1596</v>
      </c>
    </row>
    <row r="14" spans="1:22" ht="15">
      <c r="A14" s="81"/>
      <c r="B14" s="81"/>
      <c r="C14" s="81"/>
      <c r="D14" s="81"/>
      <c r="E14" s="81"/>
      <c r="F14" s="81"/>
      <c r="G14" s="81"/>
      <c r="H14" s="81"/>
      <c r="I14" s="81"/>
      <c r="J14" s="81"/>
      <c r="K14" s="81"/>
      <c r="L14" s="81"/>
      <c r="M14" s="81"/>
      <c r="N14" s="81"/>
      <c r="O14" s="81"/>
      <c r="P14" s="81"/>
      <c r="Q14" s="81"/>
      <c r="R14" s="81"/>
      <c r="S14" s="81"/>
      <c r="T14" s="81"/>
      <c r="U14" s="81"/>
      <c r="V14" s="81"/>
    </row>
    <row r="16" spans="1:22" ht="15" customHeight="1">
      <c r="A16" s="13" t="s">
        <v>1622</v>
      </c>
      <c r="B16" s="13" t="s">
        <v>1576</v>
      </c>
      <c r="C16" s="13" t="s">
        <v>1623</v>
      </c>
      <c r="D16" s="13" t="s">
        <v>1579</v>
      </c>
      <c r="E16" s="81" t="s">
        <v>1624</v>
      </c>
      <c r="F16" s="81" t="s">
        <v>1581</v>
      </c>
      <c r="G16" s="13" t="s">
        <v>1625</v>
      </c>
      <c r="H16" s="13" t="s">
        <v>1583</v>
      </c>
      <c r="I16" s="81" t="s">
        <v>1626</v>
      </c>
      <c r="J16" s="81" t="s">
        <v>1585</v>
      </c>
      <c r="K16" s="13" t="s">
        <v>1627</v>
      </c>
      <c r="L16" s="13" t="s">
        <v>1587</v>
      </c>
      <c r="M16" s="13" t="s">
        <v>1628</v>
      </c>
      <c r="N16" s="13" t="s">
        <v>1589</v>
      </c>
      <c r="O16" s="13" t="s">
        <v>1629</v>
      </c>
      <c r="P16" s="13" t="s">
        <v>1591</v>
      </c>
      <c r="Q16" s="81" t="s">
        <v>1630</v>
      </c>
      <c r="R16" s="81" t="s">
        <v>1593</v>
      </c>
      <c r="S16" s="81" t="s">
        <v>1631</v>
      </c>
      <c r="T16" s="81" t="s">
        <v>1595</v>
      </c>
      <c r="U16" s="81" t="s">
        <v>1632</v>
      </c>
      <c r="V16" s="81" t="s">
        <v>1596</v>
      </c>
    </row>
    <row r="17" spans="1:22" ht="15">
      <c r="A17" s="87" t="s">
        <v>1125</v>
      </c>
      <c r="B17" s="87">
        <v>22</v>
      </c>
      <c r="C17" s="87" t="s">
        <v>1125</v>
      </c>
      <c r="D17" s="87">
        <v>22</v>
      </c>
      <c r="E17" s="87"/>
      <c r="F17" s="87"/>
      <c r="G17" s="87" t="s">
        <v>1127</v>
      </c>
      <c r="H17" s="87">
        <v>9</v>
      </c>
      <c r="I17" s="87"/>
      <c r="J17" s="87"/>
      <c r="K17" s="87" t="s">
        <v>1383</v>
      </c>
      <c r="L17" s="87">
        <v>2</v>
      </c>
      <c r="M17" s="87" t="s">
        <v>1389</v>
      </c>
      <c r="N17" s="87">
        <v>4</v>
      </c>
      <c r="O17" s="87" t="s">
        <v>1496</v>
      </c>
      <c r="P17" s="87">
        <v>2</v>
      </c>
      <c r="Q17" s="87"/>
      <c r="R17" s="87"/>
      <c r="S17" s="87"/>
      <c r="T17" s="87"/>
      <c r="U17" s="87"/>
      <c r="V17" s="87"/>
    </row>
    <row r="18" spans="1:22" ht="15">
      <c r="A18" s="88" t="s">
        <v>1354</v>
      </c>
      <c r="B18" s="87">
        <v>21</v>
      </c>
      <c r="C18" s="87" t="s">
        <v>1168</v>
      </c>
      <c r="D18" s="87">
        <v>21</v>
      </c>
      <c r="E18" s="87"/>
      <c r="F18" s="87"/>
      <c r="G18" s="87" t="s">
        <v>1364</v>
      </c>
      <c r="H18" s="87">
        <v>9</v>
      </c>
      <c r="I18" s="87"/>
      <c r="J18" s="87"/>
      <c r="K18" s="87" t="s">
        <v>1469</v>
      </c>
      <c r="L18" s="87">
        <v>2</v>
      </c>
      <c r="M18" s="87" t="s">
        <v>1414</v>
      </c>
      <c r="N18" s="87">
        <v>2</v>
      </c>
      <c r="O18" s="87" t="s">
        <v>1361</v>
      </c>
      <c r="P18" s="87">
        <v>2</v>
      </c>
      <c r="Q18" s="87"/>
      <c r="R18" s="87"/>
      <c r="S18" s="87"/>
      <c r="T18" s="87"/>
      <c r="U18" s="87"/>
      <c r="V18" s="87"/>
    </row>
    <row r="19" spans="1:22" ht="15">
      <c r="A19" s="88" t="s">
        <v>1168</v>
      </c>
      <c r="B19" s="87">
        <v>21</v>
      </c>
      <c r="C19" s="87" t="s">
        <v>1354</v>
      </c>
      <c r="D19" s="87">
        <v>16</v>
      </c>
      <c r="E19" s="87"/>
      <c r="F19" s="87"/>
      <c r="G19" s="87" t="s">
        <v>1374</v>
      </c>
      <c r="H19" s="87">
        <v>6</v>
      </c>
      <c r="I19" s="87"/>
      <c r="J19" s="87"/>
      <c r="K19" s="87"/>
      <c r="L19" s="87"/>
      <c r="M19" s="87" t="s">
        <v>1504</v>
      </c>
      <c r="N19" s="87">
        <v>2</v>
      </c>
      <c r="O19" s="87" t="s">
        <v>1491</v>
      </c>
      <c r="P19" s="87">
        <v>2</v>
      </c>
      <c r="Q19" s="87"/>
      <c r="R19" s="87"/>
      <c r="S19" s="87"/>
      <c r="T19" s="87"/>
      <c r="U19" s="87"/>
      <c r="V19" s="87"/>
    </row>
    <row r="20" spans="1:22" ht="15">
      <c r="A20" s="88" t="s">
        <v>1162</v>
      </c>
      <c r="B20" s="87">
        <v>19</v>
      </c>
      <c r="C20" s="87" t="s">
        <v>1356</v>
      </c>
      <c r="D20" s="87">
        <v>16</v>
      </c>
      <c r="E20" s="87"/>
      <c r="F20" s="87"/>
      <c r="G20" s="87" t="s">
        <v>1354</v>
      </c>
      <c r="H20" s="87">
        <v>5</v>
      </c>
      <c r="I20" s="87"/>
      <c r="J20" s="87"/>
      <c r="K20" s="87"/>
      <c r="L20" s="87"/>
      <c r="M20" s="87" t="s">
        <v>1162</v>
      </c>
      <c r="N20" s="87">
        <v>2</v>
      </c>
      <c r="O20" s="87"/>
      <c r="P20" s="87"/>
      <c r="Q20" s="87"/>
      <c r="R20" s="87"/>
      <c r="S20" s="87"/>
      <c r="T20" s="87"/>
      <c r="U20" s="87"/>
      <c r="V20" s="87"/>
    </row>
    <row r="21" spans="1:22" ht="15">
      <c r="A21" s="88" t="s">
        <v>1355</v>
      </c>
      <c r="B21" s="87">
        <v>16</v>
      </c>
      <c r="C21" s="87" t="s">
        <v>1162</v>
      </c>
      <c r="D21" s="87">
        <v>16</v>
      </c>
      <c r="E21" s="87"/>
      <c r="F21" s="87"/>
      <c r="G21" s="87" t="s">
        <v>1385</v>
      </c>
      <c r="H21" s="87">
        <v>4</v>
      </c>
      <c r="I21" s="87"/>
      <c r="J21" s="87"/>
      <c r="K21" s="87"/>
      <c r="L21" s="87"/>
      <c r="M21" s="87" t="s">
        <v>1452</v>
      </c>
      <c r="N21" s="87">
        <v>2</v>
      </c>
      <c r="O21" s="87"/>
      <c r="P21" s="87"/>
      <c r="Q21" s="87"/>
      <c r="R21" s="87"/>
      <c r="S21" s="87"/>
      <c r="T21" s="87"/>
      <c r="U21" s="87"/>
      <c r="V21" s="87"/>
    </row>
    <row r="22" spans="1:22" ht="15">
      <c r="A22" s="88" t="s">
        <v>1356</v>
      </c>
      <c r="B22" s="87">
        <v>16</v>
      </c>
      <c r="C22" s="87" t="s">
        <v>1355</v>
      </c>
      <c r="D22" s="87">
        <v>14</v>
      </c>
      <c r="E22" s="87"/>
      <c r="F22" s="87"/>
      <c r="G22" s="87" t="s">
        <v>1365</v>
      </c>
      <c r="H22" s="87">
        <v>3</v>
      </c>
      <c r="I22" s="87"/>
      <c r="J22" s="87"/>
      <c r="K22" s="87"/>
      <c r="L22" s="87"/>
      <c r="M22" s="87" t="s">
        <v>1508</v>
      </c>
      <c r="N22" s="87">
        <v>2</v>
      </c>
      <c r="O22" s="87"/>
      <c r="P22" s="87"/>
      <c r="Q22" s="87"/>
      <c r="R22" s="87"/>
      <c r="S22" s="87"/>
      <c r="T22" s="87"/>
      <c r="U22" s="87"/>
      <c r="V22" s="87"/>
    </row>
    <row r="23" spans="1:22" ht="15">
      <c r="A23" s="88" t="s">
        <v>1357</v>
      </c>
      <c r="B23" s="87">
        <v>15</v>
      </c>
      <c r="C23" s="87" t="s">
        <v>1357</v>
      </c>
      <c r="D23" s="87">
        <v>13</v>
      </c>
      <c r="E23" s="87"/>
      <c r="F23" s="87"/>
      <c r="G23" s="87" t="s">
        <v>1412</v>
      </c>
      <c r="H23" s="87">
        <v>3</v>
      </c>
      <c r="I23" s="87"/>
      <c r="J23" s="87"/>
      <c r="K23" s="87"/>
      <c r="L23" s="87"/>
      <c r="M23" s="87" t="s">
        <v>1476</v>
      </c>
      <c r="N23" s="87">
        <v>2</v>
      </c>
      <c r="O23" s="87"/>
      <c r="P23" s="87"/>
      <c r="Q23" s="87"/>
      <c r="R23" s="87"/>
      <c r="S23" s="87"/>
      <c r="T23" s="87"/>
      <c r="U23" s="87"/>
      <c r="V23" s="87"/>
    </row>
    <row r="24" spans="1:22" ht="15">
      <c r="A24" s="88" t="s">
        <v>1127</v>
      </c>
      <c r="B24" s="87">
        <v>15</v>
      </c>
      <c r="C24" s="87" t="s">
        <v>1358</v>
      </c>
      <c r="D24" s="87">
        <v>13</v>
      </c>
      <c r="E24" s="87"/>
      <c r="F24" s="87"/>
      <c r="G24" s="87" t="s">
        <v>1403</v>
      </c>
      <c r="H24" s="87">
        <v>3</v>
      </c>
      <c r="I24" s="87"/>
      <c r="J24" s="87"/>
      <c r="K24" s="87"/>
      <c r="L24" s="87"/>
      <c r="M24" s="87" t="s">
        <v>1456</v>
      </c>
      <c r="N24" s="87">
        <v>2</v>
      </c>
      <c r="O24" s="87"/>
      <c r="P24" s="87"/>
      <c r="Q24" s="87"/>
      <c r="R24" s="87"/>
      <c r="S24" s="87"/>
      <c r="T24" s="87"/>
      <c r="U24" s="87"/>
      <c r="V24" s="87"/>
    </row>
    <row r="25" spans="1:22" ht="15">
      <c r="A25" s="88" t="s">
        <v>1358</v>
      </c>
      <c r="B25" s="87">
        <v>14</v>
      </c>
      <c r="C25" s="87" t="s">
        <v>1360</v>
      </c>
      <c r="D25" s="87">
        <v>10</v>
      </c>
      <c r="E25" s="87"/>
      <c r="F25" s="87"/>
      <c r="G25" s="87" t="s">
        <v>1442</v>
      </c>
      <c r="H25" s="87">
        <v>3</v>
      </c>
      <c r="I25" s="87"/>
      <c r="J25" s="87"/>
      <c r="K25" s="87"/>
      <c r="L25" s="87"/>
      <c r="M25" s="87"/>
      <c r="N25" s="87"/>
      <c r="O25" s="87"/>
      <c r="P25" s="87"/>
      <c r="Q25" s="87"/>
      <c r="R25" s="87"/>
      <c r="S25" s="87"/>
      <c r="T25" s="87"/>
      <c r="U25" s="87"/>
      <c r="V25" s="87"/>
    </row>
    <row r="26" spans="1:22" ht="15">
      <c r="A26" s="88" t="s">
        <v>1359</v>
      </c>
      <c r="B26" s="87">
        <v>13</v>
      </c>
      <c r="C26" s="87" t="s">
        <v>1363</v>
      </c>
      <c r="D26" s="87">
        <v>9</v>
      </c>
      <c r="E26" s="87"/>
      <c r="F26" s="87"/>
      <c r="G26" s="87" t="s">
        <v>1421</v>
      </c>
      <c r="H26" s="87">
        <v>2</v>
      </c>
      <c r="I26" s="87"/>
      <c r="J26" s="87"/>
      <c r="K26" s="87"/>
      <c r="L26" s="87"/>
      <c r="M26" s="87"/>
      <c r="N26" s="87"/>
      <c r="O26" s="87"/>
      <c r="P26" s="87"/>
      <c r="Q26" s="87"/>
      <c r="R26" s="87"/>
      <c r="S26" s="87"/>
      <c r="T26" s="87"/>
      <c r="U26" s="87"/>
      <c r="V26" s="87"/>
    </row>
    <row r="29" spans="1:22" ht="15" customHeight="1">
      <c r="A29" s="13" t="s">
        <v>1639</v>
      </c>
      <c r="B29" s="13" t="s">
        <v>1576</v>
      </c>
      <c r="C29" s="13" t="s">
        <v>1650</v>
      </c>
      <c r="D29" s="13" t="s">
        <v>1579</v>
      </c>
      <c r="E29" s="81" t="s">
        <v>1654</v>
      </c>
      <c r="F29" s="81" t="s">
        <v>1581</v>
      </c>
      <c r="G29" s="13" t="s">
        <v>1655</v>
      </c>
      <c r="H29" s="13" t="s">
        <v>1583</v>
      </c>
      <c r="I29" s="81" t="s">
        <v>1661</v>
      </c>
      <c r="J29" s="81" t="s">
        <v>1585</v>
      </c>
      <c r="K29" s="81" t="s">
        <v>1662</v>
      </c>
      <c r="L29" s="81" t="s">
        <v>1587</v>
      </c>
      <c r="M29" s="13" t="s">
        <v>1663</v>
      </c>
      <c r="N29" s="13" t="s">
        <v>1589</v>
      </c>
      <c r="O29" s="81" t="s">
        <v>1670</v>
      </c>
      <c r="P29" s="81" t="s">
        <v>1591</v>
      </c>
      <c r="Q29" s="81" t="s">
        <v>1671</v>
      </c>
      <c r="R29" s="81" t="s">
        <v>1593</v>
      </c>
      <c r="S29" s="81" t="s">
        <v>1672</v>
      </c>
      <c r="T29" s="81" t="s">
        <v>1595</v>
      </c>
      <c r="U29" s="81" t="s">
        <v>1673</v>
      </c>
      <c r="V29" s="81" t="s">
        <v>1596</v>
      </c>
    </row>
    <row r="30" spans="1:22" ht="15">
      <c r="A30" s="87" t="s">
        <v>1640</v>
      </c>
      <c r="B30" s="87">
        <v>6</v>
      </c>
      <c r="C30" s="87" t="s">
        <v>1640</v>
      </c>
      <c r="D30" s="87">
        <v>6</v>
      </c>
      <c r="E30" s="87"/>
      <c r="F30" s="87"/>
      <c r="G30" s="87" t="s">
        <v>1642</v>
      </c>
      <c r="H30" s="87">
        <v>4</v>
      </c>
      <c r="I30" s="87"/>
      <c r="J30" s="87"/>
      <c r="K30" s="87"/>
      <c r="L30" s="87"/>
      <c r="M30" s="87" t="s">
        <v>1664</v>
      </c>
      <c r="N30" s="87">
        <v>2</v>
      </c>
      <c r="O30" s="87"/>
      <c r="P30" s="87"/>
      <c r="Q30" s="87"/>
      <c r="R30" s="87"/>
      <c r="S30" s="87"/>
      <c r="T30" s="87"/>
      <c r="U30" s="87"/>
      <c r="V30" s="87"/>
    </row>
    <row r="31" spans="1:22" ht="15">
      <c r="A31" s="88" t="s">
        <v>1641</v>
      </c>
      <c r="B31" s="87">
        <v>5</v>
      </c>
      <c r="C31" s="87" t="s">
        <v>1641</v>
      </c>
      <c r="D31" s="87">
        <v>4</v>
      </c>
      <c r="E31" s="87"/>
      <c r="F31" s="87"/>
      <c r="G31" s="87" t="s">
        <v>1656</v>
      </c>
      <c r="H31" s="87">
        <v>3</v>
      </c>
      <c r="I31" s="87"/>
      <c r="J31" s="87"/>
      <c r="K31" s="87"/>
      <c r="L31" s="87"/>
      <c r="M31" s="87" t="s">
        <v>1665</v>
      </c>
      <c r="N31" s="87">
        <v>2</v>
      </c>
      <c r="O31" s="87"/>
      <c r="P31" s="87"/>
      <c r="Q31" s="87"/>
      <c r="R31" s="87"/>
      <c r="S31" s="87"/>
      <c r="T31" s="87"/>
      <c r="U31" s="87"/>
      <c r="V31" s="87"/>
    </row>
    <row r="32" spans="1:22" ht="15">
      <c r="A32" s="88" t="s">
        <v>1642</v>
      </c>
      <c r="B32" s="87">
        <v>5</v>
      </c>
      <c r="C32" s="87" t="s">
        <v>1643</v>
      </c>
      <c r="D32" s="87">
        <v>4</v>
      </c>
      <c r="E32" s="87"/>
      <c r="F32" s="87"/>
      <c r="G32" s="87" t="s">
        <v>1647</v>
      </c>
      <c r="H32" s="87">
        <v>3</v>
      </c>
      <c r="I32" s="87"/>
      <c r="J32" s="87"/>
      <c r="K32" s="87"/>
      <c r="L32" s="87"/>
      <c r="M32" s="87" t="s">
        <v>1666</v>
      </c>
      <c r="N32" s="87">
        <v>2</v>
      </c>
      <c r="O32" s="87"/>
      <c r="P32" s="87"/>
      <c r="Q32" s="87"/>
      <c r="R32" s="87"/>
      <c r="S32" s="87"/>
      <c r="T32" s="87"/>
      <c r="U32" s="87"/>
      <c r="V32" s="87"/>
    </row>
    <row r="33" spans="1:22" ht="15">
      <c r="A33" s="88" t="s">
        <v>1643</v>
      </c>
      <c r="B33" s="87">
        <v>4</v>
      </c>
      <c r="C33" s="87" t="s">
        <v>1645</v>
      </c>
      <c r="D33" s="87">
        <v>4</v>
      </c>
      <c r="E33" s="87"/>
      <c r="F33" s="87"/>
      <c r="G33" s="87" t="s">
        <v>1657</v>
      </c>
      <c r="H33" s="87">
        <v>2</v>
      </c>
      <c r="I33" s="87"/>
      <c r="J33" s="87"/>
      <c r="K33" s="87"/>
      <c r="L33" s="87"/>
      <c r="M33" s="87" t="s">
        <v>1667</v>
      </c>
      <c r="N33" s="87">
        <v>2</v>
      </c>
      <c r="O33" s="87"/>
      <c r="P33" s="87"/>
      <c r="Q33" s="87"/>
      <c r="R33" s="87"/>
      <c r="S33" s="87"/>
      <c r="T33" s="87"/>
      <c r="U33" s="87"/>
      <c r="V33" s="87"/>
    </row>
    <row r="34" spans="1:22" ht="15">
      <c r="A34" s="88" t="s">
        <v>1644</v>
      </c>
      <c r="B34" s="87">
        <v>4</v>
      </c>
      <c r="C34" s="87" t="s">
        <v>1644</v>
      </c>
      <c r="D34" s="87">
        <v>3</v>
      </c>
      <c r="E34" s="87"/>
      <c r="F34" s="87"/>
      <c r="G34" s="87" t="s">
        <v>1658</v>
      </c>
      <c r="H34" s="87">
        <v>2</v>
      </c>
      <c r="I34" s="87"/>
      <c r="J34" s="87"/>
      <c r="K34" s="87"/>
      <c r="L34" s="87"/>
      <c r="M34" s="87" t="s">
        <v>1668</v>
      </c>
      <c r="N34" s="87">
        <v>2</v>
      </c>
      <c r="O34" s="87"/>
      <c r="P34" s="87"/>
      <c r="Q34" s="87"/>
      <c r="R34" s="87"/>
      <c r="S34" s="87"/>
      <c r="T34" s="87"/>
      <c r="U34" s="87"/>
      <c r="V34" s="87"/>
    </row>
    <row r="35" spans="1:22" ht="15">
      <c r="A35" s="88" t="s">
        <v>1645</v>
      </c>
      <c r="B35" s="87">
        <v>4</v>
      </c>
      <c r="C35" s="87" t="s">
        <v>1646</v>
      </c>
      <c r="D35" s="87">
        <v>3</v>
      </c>
      <c r="E35" s="87"/>
      <c r="F35" s="87"/>
      <c r="G35" s="87" t="s">
        <v>1659</v>
      </c>
      <c r="H35" s="87">
        <v>2</v>
      </c>
      <c r="I35" s="87"/>
      <c r="J35" s="87"/>
      <c r="K35" s="87"/>
      <c r="L35" s="87"/>
      <c r="M35" s="87" t="s">
        <v>1669</v>
      </c>
      <c r="N35" s="87">
        <v>2</v>
      </c>
      <c r="O35" s="87"/>
      <c r="P35" s="87"/>
      <c r="Q35" s="87"/>
      <c r="R35" s="87"/>
      <c r="S35" s="87"/>
      <c r="T35" s="87"/>
      <c r="U35" s="87"/>
      <c r="V35" s="87"/>
    </row>
    <row r="36" spans="1:22" ht="15">
      <c r="A36" s="88" t="s">
        <v>1646</v>
      </c>
      <c r="B36" s="87">
        <v>3</v>
      </c>
      <c r="C36" s="87" t="s">
        <v>1649</v>
      </c>
      <c r="D36" s="87">
        <v>3</v>
      </c>
      <c r="E36" s="87"/>
      <c r="F36" s="87"/>
      <c r="G36" s="87" t="s">
        <v>1660</v>
      </c>
      <c r="H36" s="87">
        <v>2</v>
      </c>
      <c r="I36" s="87"/>
      <c r="J36" s="87"/>
      <c r="K36" s="87"/>
      <c r="L36" s="87"/>
      <c r="M36" s="87"/>
      <c r="N36" s="87"/>
      <c r="O36" s="87"/>
      <c r="P36" s="87"/>
      <c r="Q36" s="87"/>
      <c r="R36" s="87"/>
      <c r="S36" s="87"/>
      <c r="T36" s="87"/>
      <c r="U36" s="87"/>
      <c r="V36" s="87"/>
    </row>
    <row r="37" spans="1:22" ht="15">
      <c r="A37" s="88" t="s">
        <v>1647</v>
      </c>
      <c r="B37" s="87">
        <v>3</v>
      </c>
      <c r="C37" s="87" t="s">
        <v>1651</v>
      </c>
      <c r="D37" s="87">
        <v>3</v>
      </c>
      <c r="E37" s="87"/>
      <c r="F37" s="87"/>
      <c r="G37" s="87"/>
      <c r="H37" s="87"/>
      <c r="I37" s="87"/>
      <c r="J37" s="87"/>
      <c r="K37" s="87"/>
      <c r="L37" s="87"/>
      <c r="M37" s="87"/>
      <c r="N37" s="87"/>
      <c r="O37" s="87"/>
      <c r="P37" s="87"/>
      <c r="Q37" s="87"/>
      <c r="R37" s="87"/>
      <c r="S37" s="87"/>
      <c r="T37" s="87"/>
      <c r="U37" s="87"/>
      <c r="V37" s="87"/>
    </row>
    <row r="38" spans="1:22" ht="15">
      <c r="A38" s="88" t="s">
        <v>1648</v>
      </c>
      <c r="B38" s="87">
        <v>3</v>
      </c>
      <c r="C38" s="87" t="s">
        <v>1652</v>
      </c>
      <c r="D38" s="87">
        <v>3</v>
      </c>
      <c r="E38" s="87"/>
      <c r="F38" s="87"/>
      <c r="G38" s="87"/>
      <c r="H38" s="87"/>
      <c r="I38" s="87"/>
      <c r="J38" s="87"/>
      <c r="K38" s="87"/>
      <c r="L38" s="87"/>
      <c r="M38" s="87"/>
      <c r="N38" s="87"/>
      <c r="O38" s="87"/>
      <c r="P38" s="87"/>
      <c r="Q38" s="87"/>
      <c r="R38" s="87"/>
      <c r="S38" s="87"/>
      <c r="T38" s="87"/>
      <c r="U38" s="87"/>
      <c r="V38" s="87"/>
    </row>
    <row r="39" spans="1:22" ht="15">
      <c r="A39" s="88" t="s">
        <v>1649</v>
      </c>
      <c r="B39" s="87">
        <v>3</v>
      </c>
      <c r="C39" s="87" t="s">
        <v>1653</v>
      </c>
      <c r="D39" s="87">
        <v>3</v>
      </c>
      <c r="E39" s="87"/>
      <c r="F39" s="87"/>
      <c r="G39" s="87"/>
      <c r="H39" s="87"/>
      <c r="I39" s="87"/>
      <c r="J39" s="87"/>
      <c r="K39" s="87"/>
      <c r="L39" s="87"/>
      <c r="M39" s="87"/>
      <c r="N39" s="87"/>
      <c r="O39" s="87"/>
      <c r="P39" s="87"/>
      <c r="Q39" s="87"/>
      <c r="R39" s="87"/>
      <c r="S39" s="87"/>
      <c r="T39" s="87"/>
      <c r="U39" s="87"/>
      <c r="V39" s="87"/>
    </row>
  </sheetData>
  <hyperlinks>
    <hyperlink ref="A2" r:id="rId1" display="https://youtu.be/6oTKO3XiN34"/>
    <hyperlink ref="A3" r:id="rId2" display="https://drive.google.com/file/d/1ssca1FWJE6FRmSYvgyCHGs_W5ocOvRI7/view?usp=drive_web"/>
    <hyperlink ref="A4" r:id="rId3" display="http://www.youtube.com/results?search_query=%23healinginafrika"/>
    <hyperlink ref="C2" r:id="rId4" display="http://www.youtube.com/results?search_query=%23healinginafrika"/>
    <hyperlink ref="M2" r:id="rId5" display="https://drive.google.com/file/d/1ssca1FWJE6FRmSYvgyCHGs_W5ocOvRI7/view?usp=drive_web"/>
    <hyperlink ref="O2" r:id="rId6" display="https://youtu.be/6oTKO3XiN34"/>
  </hyperlinks>
  <printOptions/>
  <pageMargins left="0.7" right="0.7" top="0.75" bottom="0.75" header="0.3" footer="0.3"/>
  <pageSetup orientation="portrait" paperSize="9"/>
  <tableParts>
    <tablePart r:id="rId10"/>
    <tablePart r:id="rId11"/>
    <tablePart r:id="rId9"/>
    <tablePart r:id="rId8"/>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E34D-15D5-4278-BF59-758A5F5A13FC}">
  <dimension ref="A25:B149"/>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1691</v>
      </c>
      <c r="B25" t="s">
        <v>1690</v>
      </c>
    </row>
    <row r="26" spans="1:2" ht="15">
      <c r="A26" s="117" t="s">
        <v>1693</v>
      </c>
      <c r="B26" s="3">
        <v>1</v>
      </c>
    </row>
    <row r="27" spans="1:2" ht="15">
      <c r="A27" s="118" t="s">
        <v>1694</v>
      </c>
      <c r="B27" s="3">
        <v>1</v>
      </c>
    </row>
    <row r="28" spans="1:2" ht="15">
      <c r="A28" s="119" t="s">
        <v>1695</v>
      </c>
      <c r="B28" s="3">
        <v>1</v>
      </c>
    </row>
    <row r="29" spans="1:2" ht="15">
      <c r="A29" s="117" t="s">
        <v>1696</v>
      </c>
      <c r="B29" s="3">
        <v>1</v>
      </c>
    </row>
    <row r="30" spans="1:2" ht="15">
      <c r="A30" s="118" t="s">
        <v>1697</v>
      </c>
      <c r="B30" s="3">
        <v>1</v>
      </c>
    </row>
    <row r="31" spans="1:2" ht="15">
      <c r="A31" s="119" t="s">
        <v>1698</v>
      </c>
      <c r="B31" s="3">
        <v>1</v>
      </c>
    </row>
    <row r="32" spans="1:2" ht="15">
      <c r="A32" s="117" t="s">
        <v>1699</v>
      </c>
      <c r="B32" s="3">
        <v>1</v>
      </c>
    </row>
    <row r="33" spans="1:2" ht="15">
      <c r="A33" s="118" t="s">
        <v>1700</v>
      </c>
      <c r="B33" s="3">
        <v>1</v>
      </c>
    </row>
    <row r="34" spans="1:2" ht="15">
      <c r="A34" s="119" t="s">
        <v>1701</v>
      </c>
      <c r="B34" s="3">
        <v>1</v>
      </c>
    </row>
    <row r="35" spans="1:2" ht="15">
      <c r="A35" s="117" t="s">
        <v>1702</v>
      </c>
      <c r="B35" s="3">
        <v>2</v>
      </c>
    </row>
    <row r="36" spans="1:2" ht="15">
      <c r="A36" s="118" t="s">
        <v>1703</v>
      </c>
      <c r="B36" s="3">
        <v>1</v>
      </c>
    </row>
    <row r="37" spans="1:2" ht="15">
      <c r="A37" s="119" t="s">
        <v>1704</v>
      </c>
      <c r="B37" s="3">
        <v>1</v>
      </c>
    </row>
    <row r="38" spans="1:2" ht="15">
      <c r="A38" s="118" t="s">
        <v>1694</v>
      </c>
      <c r="B38" s="3">
        <v>1</v>
      </c>
    </row>
    <row r="39" spans="1:2" ht="15">
      <c r="A39" s="119" t="s">
        <v>1705</v>
      </c>
      <c r="B39" s="3">
        <v>1</v>
      </c>
    </row>
    <row r="40" spans="1:2" ht="15">
      <c r="A40" s="117" t="s">
        <v>1706</v>
      </c>
      <c r="B40" s="3">
        <v>4</v>
      </c>
    </row>
    <row r="41" spans="1:2" ht="15">
      <c r="A41" s="118" t="s">
        <v>1700</v>
      </c>
      <c r="B41" s="3">
        <v>2</v>
      </c>
    </row>
    <row r="42" spans="1:2" ht="15">
      <c r="A42" s="119" t="s">
        <v>1707</v>
      </c>
      <c r="B42" s="3">
        <v>1</v>
      </c>
    </row>
    <row r="43" spans="1:2" ht="15">
      <c r="A43" s="119" t="s">
        <v>1708</v>
      </c>
      <c r="B43" s="3">
        <v>1</v>
      </c>
    </row>
    <row r="44" spans="1:2" ht="15">
      <c r="A44" s="118" t="s">
        <v>1709</v>
      </c>
      <c r="B44" s="3">
        <v>1</v>
      </c>
    </row>
    <row r="45" spans="1:2" ht="15">
      <c r="A45" s="119" t="s">
        <v>1710</v>
      </c>
      <c r="B45" s="3">
        <v>1</v>
      </c>
    </row>
    <row r="46" spans="1:2" ht="15">
      <c r="A46" s="118" t="s">
        <v>1703</v>
      </c>
      <c r="B46" s="3">
        <v>1</v>
      </c>
    </row>
    <row r="47" spans="1:2" ht="15">
      <c r="A47" s="119" t="s">
        <v>1711</v>
      </c>
      <c r="B47" s="3">
        <v>1</v>
      </c>
    </row>
    <row r="48" spans="1:2" ht="15">
      <c r="A48" s="117" t="s">
        <v>1712</v>
      </c>
      <c r="B48" s="3">
        <v>3</v>
      </c>
    </row>
    <row r="49" spans="1:2" ht="15">
      <c r="A49" s="118" t="s">
        <v>1713</v>
      </c>
      <c r="B49" s="3">
        <v>1</v>
      </c>
    </row>
    <row r="50" spans="1:2" ht="15">
      <c r="A50" s="119" t="s">
        <v>1714</v>
      </c>
      <c r="B50" s="3">
        <v>1</v>
      </c>
    </row>
    <row r="51" spans="1:2" ht="15">
      <c r="A51" s="118" t="s">
        <v>1715</v>
      </c>
      <c r="B51" s="3">
        <v>1</v>
      </c>
    </row>
    <row r="52" spans="1:2" ht="15">
      <c r="A52" s="119" t="s">
        <v>1716</v>
      </c>
      <c r="B52" s="3">
        <v>1</v>
      </c>
    </row>
    <row r="53" spans="1:2" ht="15">
      <c r="A53" s="118" t="s">
        <v>1709</v>
      </c>
      <c r="B53" s="3">
        <v>1</v>
      </c>
    </row>
    <row r="54" spans="1:2" ht="15">
      <c r="A54" s="119" t="s">
        <v>1717</v>
      </c>
      <c r="B54" s="3">
        <v>1</v>
      </c>
    </row>
    <row r="55" spans="1:2" ht="15">
      <c r="A55" s="117" t="s">
        <v>1718</v>
      </c>
      <c r="B55" s="3">
        <v>7</v>
      </c>
    </row>
    <row r="56" spans="1:2" ht="15">
      <c r="A56" s="118" t="s">
        <v>1719</v>
      </c>
      <c r="B56" s="3">
        <v>3</v>
      </c>
    </row>
    <row r="57" spans="1:2" ht="15">
      <c r="A57" s="119" t="s">
        <v>1720</v>
      </c>
      <c r="B57" s="3">
        <v>1</v>
      </c>
    </row>
    <row r="58" spans="1:2" ht="15">
      <c r="A58" s="119" t="s">
        <v>1721</v>
      </c>
      <c r="B58" s="3">
        <v>2</v>
      </c>
    </row>
    <row r="59" spans="1:2" ht="15">
      <c r="A59" s="118" t="s">
        <v>1722</v>
      </c>
      <c r="B59" s="3">
        <v>3</v>
      </c>
    </row>
    <row r="60" spans="1:2" ht="15">
      <c r="A60" s="119" t="s">
        <v>1723</v>
      </c>
      <c r="B60" s="3">
        <v>2</v>
      </c>
    </row>
    <row r="61" spans="1:2" ht="15">
      <c r="A61" s="119" t="s">
        <v>1724</v>
      </c>
      <c r="B61" s="3">
        <v>1</v>
      </c>
    </row>
    <row r="62" spans="1:2" ht="15">
      <c r="A62" s="118" t="s">
        <v>1715</v>
      </c>
      <c r="B62" s="3">
        <v>1</v>
      </c>
    </row>
    <row r="63" spans="1:2" ht="15">
      <c r="A63" s="119" t="s">
        <v>1725</v>
      </c>
      <c r="B63" s="3">
        <v>1</v>
      </c>
    </row>
    <row r="64" spans="1:2" ht="15">
      <c r="A64" s="117" t="s">
        <v>1726</v>
      </c>
      <c r="B64" s="3">
        <v>96</v>
      </c>
    </row>
    <row r="65" spans="1:2" ht="15">
      <c r="A65" s="118" t="s">
        <v>1715</v>
      </c>
      <c r="B65" s="3">
        <v>2</v>
      </c>
    </row>
    <row r="66" spans="1:2" ht="15">
      <c r="A66" s="119" t="s">
        <v>1727</v>
      </c>
      <c r="B66" s="3">
        <v>2</v>
      </c>
    </row>
    <row r="67" spans="1:2" ht="15">
      <c r="A67" s="118" t="s">
        <v>1728</v>
      </c>
      <c r="B67" s="3">
        <v>2</v>
      </c>
    </row>
    <row r="68" spans="1:2" ht="15">
      <c r="A68" s="119" t="s">
        <v>1729</v>
      </c>
      <c r="B68" s="3">
        <v>1</v>
      </c>
    </row>
    <row r="69" spans="1:2" ht="15">
      <c r="A69" s="119" t="s">
        <v>1730</v>
      </c>
      <c r="B69" s="3">
        <v>1</v>
      </c>
    </row>
    <row r="70" spans="1:2" ht="15">
      <c r="A70" s="118" t="s">
        <v>1697</v>
      </c>
      <c r="B70" s="3">
        <v>91</v>
      </c>
    </row>
    <row r="71" spans="1:2" ht="15">
      <c r="A71" s="119" t="s">
        <v>1731</v>
      </c>
      <c r="B71" s="3">
        <v>22</v>
      </c>
    </row>
    <row r="72" spans="1:2" ht="15">
      <c r="A72" s="119" t="s">
        <v>1732</v>
      </c>
      <c r="B72" s="3">
        <v>46</v>
      </c>
    </row>
    <row r="73" spans="1:2" ht="15">
      <c r="A73" s="119" t="s">
        <v>1733</v>
      </c>
      <c r="B73" s="3">
        <v>11</v>
      </c>
    </row>
    <row r="74" spans="1:2" ht="15">
      <c r="A74" s="119" t="s">
        <v>1734</v>
      </c>
      <c r="B74" s="3">
        <v>4</v>
      </c>
    </row>
    <row r="75" spans="1:2" ht="15">
      <c r="A75" s="119" t="s">
        <v>1735</v>
      </c>
      <c r="B75" s="3">
        <v>2</v>
      </c>
    </row>
    <row r="76" spans="1:2" ht="15">
      <c r="A76" s="119" t="s">
        <v>1736</v>
      </c>
      <c r="B76" s="3">
        <v>1</v>
      </c>
    </row>
    <row r="77" spans="1:2" ht="15">
      <c r="A77" s="119" t="s">
        <v>1737</v>
      </c>
      <c r="B77" s="3">
        <v>1</v>
      </c>
    </row>
    <row r="78" spans="1:2" ht="15">
      <c r="A78" s="119" t="s">
        <v>1738</v>
      </c>
      <c r="B78" s="3">
        <v>1</v>
      </c>
    </row>
    <row r="79" spans="1:2" ht="15">
      <c r="A79" s="119" t="s">
        <v>1698</v>
      </c>
      <c r="B79" s="3">
        <v>1</v>
      </c>
    </row>
    <row r="80" spans="1:2" ht="15">
      <c r="A80" s="119" t="s">
        <v>1739</v>
      </c>
      <c r="B80" s="3">
        <v>1</v>
      </c>
    </row>
    <row r="81" spans="1:2" ht="15">
      <c r="A81" s="119" t="s">
        <v>1740</v>
      </c>
      <c r="B81" s="3">
        <v>1</v>
      </c>
    </row>
    <row r="82" spans="1:2" ht="15">
      <c r="A82" s="118" t="s">
        <v>1694</v>
      </c>
      <c r="B82" s="3">
        <v>1</v>
      </c>
    </row>
    <row r="83" spans="1:2" ht="15">
      <c r="A83" s="119" t="s">
        <v>1741</v>
      </c>
      <c r="B83" s="3">
        <v>1</v>
      </c>
    </row>
    <row r="84" spans="1:2" ht="15">
      <c r="A84" s="117" t="s">
        <v>1742</v>
      </c>
      <c r="B84" s="3">
        <v>21</v>
      </c>
    </row>
    <row r="85" spans="1:2" ht="15">
      <c r="A85" s="118" t="s">
        <v>1719</v>
      </c>
      <c r="B85" s="3">
        <v>1</v>
      </c>
    </row>
    <row r="86" spans="1:2" ht="15">
      <c r="A86" s="119" t="s">
        <v>1743</v>
      </c>
      <c r="B86" s="3">
        <v>1</v>
      </c>
    </row>
    <row r="87" spans="1:2" ht="15">
      <c r="A87" s="118" t="s">
        <v>1722</v>
      </c>
      <c r="B87" s="3">
        <v>4</v>
      </c>
    </row>
    <row r="88" spans="1:2" ht="15">
      <c r="A88" s="119" t="s">
        <v>1744</v>
      </c>
      <c r="B88" s="3">
        <v>4</v>
      </c>
    </row>
    <row r="89" spans="1:2" ht="15">
      <c r="A89" s="118" t="s">
        <v>1700</v>
      </c>
      <c r="B89" s="3">
        <v>1</v>
      </c>
    </row>
    <row r="90" spans="1:2" ht="15">
      <c r="A90" s="119" t="s">
        <v>1745</v>
      </c>
      <c r="B90" s="3">
        <v>1</v>
      </c>
    </row>
    <row r="91" spans="1:2" ht="15">
      <c r="A91" s="118" t="s">
        <v>1746</v>
      </c>
      <c r="B91" s="3">
        <v>2</v>
      </c>
    </row>
    <row r="92" spans="1:2" ht="15">
      <c r="A92" s="119" t="s">
        <v>1747</v>
      </c>
      <c r="B92" s="3">
        <v>2</v>
      </c>
    </row>
    <row r="93" spans="1:2" ht="15">
      <c r="A93" s="118" t="s">
        <v>1748</v>
      </c>
      <c r="B93" s="3">
        <v>3</v>
      </c>
    </row>
    <row r="94" spans="1:2" ht="15">
      <c r="A94" s="119" t="s">
        <v>1749</v>
      </c>
      <c r="B94" s="3">
        <v>1</v>
      </c>
    </row>
    <row r="95" spans="1:2" ht="15">
      <c r="A95" s="119" t="s">
        <v>1750</v>
      </c>
      <c r="B95" s="3">
        <v>2</v>
      </c>
    </row>
    <row r="96" spans="1:2" ht="15">
      <c r="A96" s="118" t="s">
        <v>1715</v>
      </c>
      <c r="B96" s="3">
        <v>2</v>
      </c>
    </row>
    <row r="97" spans="1:2" ht="15">
      <c r="A97" s="119" t="s">
        <v>1751</v>
      </c>
      <c r="B97" s="3">
        <v>1</v>
      </c>
    </row>
    <row r="98" spans="1:2" ht="15">
      <c r="A98" s="119" t="s">
        <v>1752</v>
      </c>
      <c r="B98" s="3">
        <v>1</v>
      </c>
    </row>
    <row r="99" spans="1:2" ht="15">
      <c r="A99" s="118" t="s">
        <v>1703</v>
      </c>
      <c r="B99" s="3">
        <v>1</v>
      </c>
    </row>
    <row r="100" spans="1:2" ht="15">
      <c r="A100" s="119" t="s">
        <v>1704</v>
      </c>
      <c r="B100" s="3">
        <v>1</v>
      </c>
    </row>
    <row r="101" spans="1:2" ht="15">
      <c r="A101" s="118" t="s">
        <v>1694</v>
      </c>
      <c r="B101" s="3">
        <v>7</v>
      </c>
    </row>
    <row r="102" spans="1:2" ht="15">
      <c r="A102" s="119" t="s">
        <v>1753</v>
      </c>
      <c r="B102" s="3">
        <v>1</v>
      </c>
    </row>
    <row r="103" spans="1:2" ht="15">
      <c r="A103" s="119" t="s">
        <v>1754</v>
      </c>
      <c r="B103" s="3">
        <v>1</v>
      </c>
    </row>
    <row r="104" spans="1:2" ht="15">
      <c r="A104" s="119" t="s">
        <v>1755</v>
      </c>
      <c r="B104" s="3">
        <v>4</v>
      </c>
    </row>
    <row r="105" spans="1:2" ht="15">
      <c r="A105" s="119" t="s">
        <v>1756</v>
      </c>
      <c r="B105" s="3">
        <v>1</v>
      </c>
    </row>
    <row r="106" spans="1:2" ht="15">
      <c r="A106" s="117" t="s">
        <v>1757</v>
      </c>
      <c r="B106" s="3">
        <v>18</v>
      </c>
    </row>
    <row r="107" spans="1:2" ht="15">
      <c r="A107" s="118" t="s">
        <v>1722</v>
      </c>
      <c r="B107" s="3">
        <v>3</v>
      </c>
    </row>
    <row r="108" spans="1:2" ht="15">
      <c r="A108" s="119" t="s">
        <v>1744</v>
      </c>
      <c r="B108" s="3">
        <v>2</v>
      </c>
    </row>
    <row r="109" spans="1:2" ht="15">
      <c r="A109" s="119" t="s">
        <v>1758</v>
      </c>
      <c r="B109" s="3">
        <v>1</v>
      </c>
    </row>
    <row r="110" spans="1:2" ht="15">
      <c r="A110" s="118" t="s">
        <v>1713</v>
      </c>
      <c r="B110" s="3">
        <v>2</v>
      </c>
    </row>
    <row r="111" spans="1:2" ht="15">
      <c r="A111" s="119" t="s">
        <v>1759</v>
      </c>
      <c r="B111" s="3">
        <v>1</v>
      </c>
    </row>
    <row r="112" spans="1:2" ht="15">
      <c r="A112" s="119" t="s">
        <v>1760</v>
      </c>
      <c r="B112" s="3">
        <v>1</v>
      </c>
    </row>
    <row r="113" spans="1:2" ht="15">
      <c r="A113" s="118" t="s">
        <v>1748</v>
      </c>
      <c r="B113" s="3">
        <v>1</v>
      </c>
    </row>
    <row r="114" spans="1:2" ht="15">
      <c r="A114" s="119" t="s">
        <v>1761</v>
      </c>
      <c r="B114" s="3">
        <v>1</v>
      </c>
    </row>
    <row r="115" spans="1:2" ht="15">
      <c r="A115" s="118" t="s">
        <v>1715</v>
      </c>
      <c r="B115" s="3">
        <v>1</v>
      </c>
    </row>
    <row r="116" spans="1:2" ht="15">
      <c r="A116" s="119" t="s">
        <v>1762</v>
      </c>
      <c r="B116" s="3">
        <v>1</v>
      </c>
    </row>
    <row r="117" spans="1:2" ht="15">
      <c r="A117" s="118" t="s">
        <v>1709</v>
      </c>
      <c r="B117" s="3">
        <v>9</v>
      </c>
    </row>
    <row r="118" spans="1:2" ht="15">
      <c r="A118" s="119" t="s">
        <v>1710</v>
      </c>
      <c r="B118" s="3">
        <v>1</v>
      </c>
    </row>
    <row r="119" spans="1:2" ht="15">
      <c r="A119" s="119" t="s">
        <v>1763</v>
      </c>
      <c r="B119" s="3">
        <v>1</v>
      </c>
    </row>
    <row r="120" spans="1:2" ht="15">
      <c r="A120" s="119" t="s">
        <v>1764</v>
      </c>
      <c r="B120" s="3">
        <v>2</v>
      </c>
    </row>
    <row r="121" spans="1:2" ht="15">
      <c r="A121" s="119" t="s">
        <v>1765</v>
      </c>
      <c r="B121" s="3">
        <v>2</v>
      </c>
    </row>
    <row r="122" spans="1:2" ht="15">
      <c r="A122" s="119" t="s">
        <v>1766</v>
      </c>
      <c r="B122" s="3">
        <v>1</v>
      </c>
    </row>
    <row r="123" spans="1:2" ht="15">
      <c r="A123" s="119" t="s">
        <v>1767</v>
      </c>
      <c r="B123" s="3">
        <v>1</v>
      </c>
    </row>
    <row r="124" spans="1:2" ht="15">
      <c r="A124" s="119" t="s">
        <v>1768</v>
      </c>
      <c r="B124" s="3">
        <v>1</v>
      </c>
    </row>
    <row r="125" spans="1:2" ht="15">
      <c r="A125" s="118" t="s">
        <v>1703</v>
      </c>
      <c r="B125" s="3">
        <v>1</v>
      </c>
    </row>
    <row r="126" spans="1:2" ht="15">
      <c r="A126" s="119" t="s">
        <v>1769</v>
      </c>
      <c r="B126" s="3">
        <v>1</v>
      </c>
    </row>
    <row r="127" spans="1:2" ht="15">
      <c r="A127" s="118" t="s">
        <v>1694</v>
      </c>
      <c r="B127" s="3">
        <v>1</v>
      </c>
    </row>
    <row r="128" spans="1:2" ht="15">
      <c r="A128" s="119" t="s">
        <v>1695</v>
      </c>
      <c r="B128" s="3">
        <v>1</v>
      </c>
    </row>
    <row r="129" spans="1:2" ht="15">
      <c r="A129" s="117" t="s">
        <v>1770</v>
      </c>
      <c r="B129" s="3">
        <v>27</v>
      </c>
    </row>
    <row r="130" spans="1:2" ht="15">
      <c r="A130" s="118" t="s">
        <v>1719</v>
      </c>
      <c r="B130" s="3">
        <v>2</v>
      </c>
    </row>
    <row r="131" spans="1:2" ht="15">
      <c r="A131" s="119" t="s">
        <v>1771</v>
      </c>
      <c r="B131" s="3">
        <v>1</v>
      </c>
    </row>
    <row r="132" spans="1:2" ht="15">
      <c r="A132" s="119" t="s">
        <v>1772</v>
      </c>
      <c r="B132" s="3">
        <v>1</v>
      </c>
    </row>
    <row r="133" spans="1:2" ht="15">
      <c r="A133" s="118" t="s">
        <v>1722</v>
      </c>
      <c r="B133" s="3">
        <v>1</v>
      </c>
    </row>
    <row r="134" spans="1:2" ht="15">
      <c r="A134" s="119" t="s">
        <v>1773</v>
      </c>
      <c r="B134" s="3">
        <v>1</v>
      </c>
    </row>
    <row r="135" spans="1:2" ht="15">
      <c r="A135" s="118" t="s">
        <v>1713</v>
      </c>
      <c r="B135" s="3">
        <v>1</v>
      </c>
    </row>
    <row r="136" spans="1:2" ht="15">
      <c r="A136" s="119" t="s">
        <v>1774</v>
      </c>
      <c r="B136" s="3">
        <v>1</v>
      </c>
    </row>
    <row r="137" spans="1:2" ht="15">
      <c r="A137" s="118" t="s">
        <v>1715</v>
      </c>
      <c r="B137" s="3">
        <v>2</v>
      </c>
    </row>
    <row r="138" spans="1:2" ht="15">
      <c r="A138" s="119" t="s">
        <v>1775</v>
      </c>
      <c r="B138" s="3">
        <v>2</v>
      </c>
    </row>
    <row r="139" spans="1:2" ht="15">
      <c r="A139" s="118" t="s">
        <v>1728</v>
      </c>
      <c r="B139" s="3">
        <v>3</v>
      </c>
    </row>
    <row r="140" spans="1:2" ht="15">
      <c r="A140" s="119" t="s">
        <v>1776</v>
      </c>
      <c r="B140" s="3">
        <v>1</v>
      </c>
    </row>
    <row r="141" spans="1:2" ht="15">
      <c r="A141" s="119" t="s">
        <v>1777</v>
      </c>
      <c r="B141" s="3">
        <v>1</v>
      </c>
    </row>
    <row r="142" spans="1:2" ht="15">
      <c r="A142" s="119" t="s">
        <v>1778</v>
      </c>
      <c r="B142" s="3">
        <v>1</v>
      </c>
    </row>
    <row r="143" spans="1:2" ht="15">
      <c r="A143" s="118" t="s">
        <v>1709</v>
      </c>
      <c r="B143" s="3">
        <v>18</v>
      </c>
    </row>
    <row r="144" spans="1:2" ht="15">
      <c r="A144" s="119" t="s">
        <v>1779</v>
      </c>
      <c r="B144" s="3">
        <v>13</v>
      </c>
    </row>
    <row r="145" spans="1:2" ht="15">
      <c r="A145" s="119" t="s">
        <v>1710</v>
      </c>
      <c r="B145" s="3">
        <v>1</v>
      </c>
    </row>
    <row r="146" spans="1:2" ht="15">
      <c r="A146" s="119" t="s">
        <v>1780</v>
      </c>
      <c r="B146" s="3">
        <v>2</v>
      </c>
    </row>
    <row r="147" spans="1:2" ht="15">
      <c r="A147" s="119" t="s">
        <v>1781</v>
      </c>
      <c r="B147" s="3">
        <v>1</v>
      </c>
    </row>
    <row r="148" spans="1:2" ht="15">
      <c r="A148" s="119" t="s">
        <v>1782</v>
      </c>
      <c r="B148" s="3">
        <v>1</v>
      </c>
    </row>
    <row r="149" spans="1:2" ht="15">
      <c r="A149" s="117" t="s">
        <v>1692</v>
      </c>
      <c r="B149"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83"/>
  <sheetViews>
    <sheetView tabSelected="1"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741</v>
      </c>
      <c r="AE2" s="13" t="s">
        <v>742</v>
      </c>
      <c r="AF2" s="13" t="s">
        <v>198</v>
      </c>
      <c r="AG2" s="13" t="s">
        <v>199</v>
      </c>
      <c r="AH2" s="13" t="s">
        <v>200</v>
      </c>
      <c r="AI2" s="13" t="s">
        <v>743</v>
      </c>
      <c r="AJ2" s="13" t="s">
        <v>206</v>
      </c>
      <c r="AK2" s="13" t="s">
        <v>744</v>
      </c>
      <c r="AL2" s="13" t="s">
        <v>745</v>
      </c>
      <c r="AM2" s="13" t="s">
        <v>746</v>
      </c>
      <c r="AN2" s="13" t="s">
        <v>747</v>
      </c>
      <c r="AO2" s="13" t="s">
        <v>748</v>
      </c>
      <c r="AP2" s="13" t="s">
        <v>749</v>
      </c>
      <c r="AQ2" s="13" t="s">
        <v>750</v>
      </c>
      <c r="AR2" s="13" t="s">
        <v>751</v>
      </c>
      <c r="AS2" s="13" t="s">
        <v>752</v>
      </c>
      <c r="AT2" s="13" t="s">
        <v>753</v>
      </c>
      <c r="AU2" s="13" t="s">
        <v>754</v>
      </c>
      <c r="AV2" s="13" t="s">
        <v>214</v>
      </c>
      <c r="AW2" s="13" t="s">
        <v>215</v>
      </c>
      <c r="AX2" s="13" t="s">
        <v>216</v>
      </c>
      <c r="AY2" s="13" t="s">
        <v>217</v>
      </c>
      <c r="AZ2" s="13" t="s">
        <v>218</v>
      </c>
      <c r="BA2" s="13" t="s">
        <v>219</v>
      </c>
      <c r="BB2" s="13" t="s">
        <v>220</v>
      </c>
      <c r="BC2" s="13" t="s">
        <v>221</v>
      </c>
      <c r="BD2" s="13" t="s">
        <v>755</v>
      </c>
      <c r="BE2" s="13" t="s">
        <v>756</v>
      </c>
      <c r="BF2" s="13" t="s">
        <v>757</v>
      </c>
      <c r="BG2" s="13" t="s">
        <v>758</v>
      </c>
      <c r="BH2" s="13" t="s">
        <v>759</v>
      </c>
      <c r="BI2" s="13" t="s">
        <v>760</v>
      </c>
      <c r="BJ2" s="13" t="s">
        <v>761</v>
      </c>
      <c r="BK2" s="13" t="s">
        <v>762</v>
      </c>
      <c r="BL2" s="13" t="s">
        <v>763</v>
      </c>
      <c r="BM2" s="13" t="s">
        <v>764</v>
      </c>
      <c r="BN2" s="13" t="s">
        <v>765</v>
      </c>
      <c r="BO2" s="3"/>
      <c r="BP2" s="3"/>
    </row>
    <row r="3" spans="1:68" ht="15" customHeight="1">
      <c r="A3" s="66" t="s">
        <v>372</v>
      </c>
      <c r="B3" s="67"/>
      <c r="C3" s="67">
        <v>11</v>
      </c>
      <c r="D3" s="68">
        <v>1000</v>
      </c>
      <c r="E3" s="70"/>
      <c r="F3" s="103" t="str">
        <f>HYPERLINK("https://yt3.ggpht.com/-HxU2ScvFy6O2-cQB8GO_3flFU1g0y73d7AejL6OWValM346qLh78XWTuluEy1oYXcqRdSaCKDM=s88-c-k-c0x00ffffff-no-rj")</f>
        <v>https://yt3.ggpht.com/-HxU2ScvFy6O2-cQB8GO_3flFU1g0y73d7AejL6OWValM346qLh78XWTuluEy1oYXcqRdSaCKDM=s88-c-k-c0x00ffffff-no-rj</v>
      </c>
      <c r="G3" s="67"/>
      <c r="H3" s="71" t="s">
        <v>689</v>
      </c>
      <c r="I3" s="72"/>
      <c r="J3" s="72" t="s">
        <v>75</v>
      </c>
      <c r="K3" s="71" t="s">
        <v>689</v>
      </c>
      <c r="L3" s="75">
        <v>9999</v>
      </c>
      <c r="M3" s="76">
        <v>2612.471923828125</v>
      </c>
      <c r="N3" s="76">
        <v>4977.1865234375</v>
      </c>
      <c r="O3" s="77"/>
      <c r="P3" s="78"/>
      <c r="Q3" s="78"/>
      <c r="R3" s="89"/>
      <c r="S3" s="49">
        <v>93</v>
      </c>
      <c r="T3" s="49">
        <v>1</v>
      </c>
      <c r="U3" s="50">
        <v>8372</v>
      </c>
      <c r="V3" s="50">
        <v>0.511111</v>
      </c>
      <c r="W3" s="50">
        <v>0.725261</v>
      </c>
      <c r="X3" s="50">
        <v>0.071207</v>
      </c>
      <c r="Y3" s="50">
        <v>0</v>
      </c>
      <c r="Z3" s="50">
        <v>0</v>
      </c>
      <c r="AA3" s="73">
        <v>3</v>
      </c>
      <c r="AB3" s="73"/>
      <c r="AC3" s="74"/>
      <c r="AD3" s="81" t="s">
        <v>689</v>
      </c>
      <c r="AE3" s="81" t="s">
        <v>828</v>
      </c>
      <c r="AF3" s="81"/>
      <c r="AG3" s="81"/>
      <c r="AH3" s="81"/>
      <c r="AI3" s="81" t="s">
        <v>935</v>
      </c>
      <c r="AJ3" s="85">
        <v>40658.734351851854</v>
      </c>
      <c r="AK3" s="83" t="str">
        <f>HYPERLINK("https://yt3.ggpht.com/-HxU2ScvFy6O2-cQB8GO_3flFU1g0y73d7AejL6OWValM346qLh78XWTuluEy1oYXcqRdSaCKDM=s88-c-k-c0x00ffffff-no-rj")</f>
        <v>https://yt3.ggpht.com/-HxU2ScvFy6O2-cQB8GO_3flFU1g0y73d7AejL6OWValM346qLh78XWTuluEy1oYXcqRdSaCKDM=s88-c-k-c0x00ffffff-no-rj</v>
      </c>
      <c r="AL3" s="81">
        <v>4030668</v>
      </c>
      <c r="AM3" s="81">
        <v>0</v>
      </c>
      <c r="AN3" s="81">
        <v>59800</v>
      </c>
      <c r="AO3" s="81" t="b">
        <v>0</v>
      </c>
      <c r="AP3" s="81">
        <v>558</v>
      </c>
      <c r="AQ3" s="81"/>
      <c r="AR3" s="81"/>
      <c r="AS3" s="81" t="s">
        <v>1057</v>
      </c>
      <c r="AT3" s="83" t="str">
        <f>HYPERLINK("https://www.youtube.com/channel/UC4EBLyv8FBuRC-OqRCBI1Ag")</f>
        <v>https://www.youtube.com/channel/UC4EBLyv8FBuRC-OqRCBI1Ag</v>
      </c>
      <c r="AU3" s="81">
        <v>1</v>
      </c>
      <c r="AV3" s="49">
        <v>5</v>
      </c>
      <c r="AW3" s="50">
        <v>2.808988764044944</v>
      </c>
      <c r="AX3" s="49">
        <v>0</v>
      </c>
      <c r="AY3" s="50">
        <v>0</v>
      </c>
      <c r="AZ3" s="49">
        <v>0</v>
      </c>
      <c r="BA3" s="50">
        <v>0</v>
      </c>
      <c r="BB3" s="49">
        <v>62</v>
      </c>
      <c r="BC3" s="50">
        <v>34.831460674157306</v>
      </c>
      <c r="BD3" s="49">
        <v>178</v>
      </c>
      <c r="BE3" s="49"/>
      <c r="BF3" s="49"/>
      <c r="BG3" s="49"/>
      <c r="BH3" s="49"/>
      <c r="BI3" s="49"/>
      <c r="BJ3" s="49"/>
      <c r="BK3" s="115" t="s">
        <v>1679</v>
      </c>
      <c r="BL3" s="115" t="s">
        <v>1679</v>
      </c>
      <c r="BM3" s="115" t="s">
        <v>1685</v>
      </c>
      <c r="BN3" s="115" t="s">
        <v>1685</v>
      </c>
      <c r="BO3" s="3"/>
      <c r="BP3" s="3"/>
    </row>
    <row r="4" spans="1:71" ht="15">
      <c r="A4" s="66" t="s">
        <v>265</v>
      </c>
      <c r="B4" s="67"/>
      <c r="C4" s="67">
        <v>11</v>
      </c>
      <c r="D4" s="68">
        <v>1000</v>
      </c>
      <c r="E4" s="70"/>
      <c r="F4" s="103" t="str">
        <f>HYPERLINK("https://yt3.ggpht.com/ytc/AOPolaSTeE8O8oSsguGL1G05WPhBg85Gl2kpmAQSfGXIuQ=s88-c-k-c0x00ffffff-no-rj")</f>
        <v>https://yt3.ggpht.com/ytc/AOPolaSTeE8O8oSsguGL1G05WPhBg85Gl2kpmAQSfGXIuQ=s88-c-k-c0x00ffffff-no-rj</v>
      </c>
      <c r="G4" s="67"/>
      <c r="H4" s="71" t="s">
        <v>766</v>
      </c>
      <c r="I4" s="72"/>
      <c r="J4" s="72" t="s">
        <v>75</v>
      </c>
      <c r="K4" s="71" t="s">
        <v>766</v>
      </c>
      <c r="L4" s="75">
        <v>552.7290969899666</v>
      </c>
      <c r="M4" s="76">
        <v>6967.46923828125</v>
      </c>
      <c r="N4" s="76">
        <v>5021.2412109375</v>
      </c>
      <c r="O4" s="77"/>
      <c r="P4" s="78"/>
      <c r="Q4" s="78"/>
      <c r="R4" s="89"/>
      <c r="S4" s="49">
        <v>23</v>
      </c>
      <c r="T4" s="49">
        <v>1</v>
      </c>
      <c r="U4" s="50">
        <v>462</v>
      </c>
      <c r="V4" s="50">
        <v>0.122222</v>
      </c>
      <c r="W4" s="50">
        <v>0</v>
      </c>
      <c r="X4" s="50">
        <v>0.020777</v>
      </c>
      <c r="Y4" s="50">
        <v>0</v>
      </c>
      <c r="Z4" s="50">
        <v>0</v>
      </c>
      <c r="AA4" s="73">
        <v>4</v>
      </c>
      <c r="AB4" s="73"/>
      <c r="AC4" s="74"/>
      <c r="AD4" s="81" t="s">
        <v>766</v>
      </c>
      <c r="AE4" s="81" t="s">
        <v>805</v>
      </c>
      <c r="AF4" s="81"/>
      <c r="AG4" s="81"/>
      <c r="AH4" s="81"/>
      <c r="AI4" s="81" t="s">
        <v>876</v>
      </c>
      <c r="AJ4" s="85">
        <v>40968.76354166667</v>
      </c>
      <c r="AK4" s="83" t="str">
        <f>HYPERLINK("https://yt3.ggpht.com/ytc/AOPolaSTeE8O8oSsguGL1G05WPhBg85Gl2kpmAQSfGXIuQ=s88-c-k-c0x00ffffff-no-rj")</f>
        <v>https://yt3.ggpht.com/ytc/AOPolaSTeE8O8oSsguGL1G05WPhBg85Gl2kpmAQSfGXIuQ=s88-c-k-c0x00ffffff-no-rj</v>
      </c>
      <c r="AL4" s="81">
        <v>1069608504</v>
      </c>
      <c r="AM4" s="81">
        <v>0</v>
      </c>
      <c r="AN4" s="81">
        <v>2080000</v>
      </c>
      <c r="AO4" s="81" t="b">
        <v>0</v>
      </c>
      <c r="AP4" s="81">
        <v>203403</v>
      </c>
      <c r="AQ4" s="81"/>
      <c r="AR4" s="81"/>
      <c r="AS4" s="81" t="s">
        <v>1057</v>
      </c>
      <c r="AT4" s="83" t="str">
        <f>HYPERLINK("https://www.youtube.com/channel/UC8yH-uI81UUtEMDsowQyx1g")</f>
        <v>https://www.youtube.com/channel/UC8yH-uI81UUtEMDsowQyx1g</v>
      </c>
      <c r="AU4" s="81">
        <v>3</v>
      </c>
      <c r="AV4" s="49"/>
      <c r="AW4" s="50"/>
      <c r="AX4" s="49"/>
      <c r="AY4" s="50"/>
      <c r="AZ4" s="49"/>
      <c r="BA4" s="50"/>
      <c r="BB4" s="49"/>
      <c r="BC4" s="50"/>
      <c r="BD4" s="49"/>
      <c r="BE4" s="49"/>
      <c r="BF4" s="49"/>
      <c r="BG4" s="49"/>
      <c r="BH4" s="49"/>
      <c r="BI4" s="49"/>
      <c r="BJ4" s="49"/>
      <c r="BK4" s="115" t="s">
        <v>1634</v>
      </c>
      <c r="BL4" s="115" t="s">
        <v>1634</v>
      </c>
      <c r="BM4" s="115" t="s">
        <v>1634</v>
      </c>
      <c r="BN4" s="115" t="s">
        <v>1634</v>
      </c>
      <c r="BO4" s="2"/>
      <c r="BP4" s="3"/>
      <c r="BQ4" s="3"/>
      <c r="BR4" s="3"/>
      <c r="BS4" s="3"/>
    </row>
    <row r="5" spans="1:71" ht="15">
      <c r="A5" s="66" t="s">
        <v>251</v>
      </c>
      <c r="B5" s="67"/>
      <c r="C5" s="67">
        <v>11</v>
      </c>
      <c r="D5" s="68">
        <v>205.19480519480518</v>
      </c>
      <c r="E5" s="70"/>
      <c r="F5" s="103" t="str">
        <f>HYPERLINK("https://yt3.ggpht.com/HKqZu2XDiAK1EMUwmwgpuDynb63jK3e0B6SC1_tmLXzCvyMmgVSY7OCAh6iDnAHIlnqADy10Jvw=s88-c-k-c0x00ffffff-no-rj")</f>
        <v>https://yt3.ggpht.com/HKqZu2XDiAK1EMUwmwgpuDynb63jK3e0B6SC1_tmLXzCvyMmgVSY7OCAh6iDnAHIlnqADy10Jvw=s88-c-k-c0x00ffffff-no-rj</v>
      </c>
      <c r="G5" s="67"/>
      <c r="H5" s="71" t="s">
        <v>769</v>
      </c>
      <c r="I5" s="72"/>
      <c r="J5" s="72" t="s">
        <v>75</v>
      </c>
      <c r="K5" s="71" t="s">
        <v>769</v>
      </c>
      <c r="L5" s="75">
        <v>36.826564739608216</v>
      </c>
      <c r="M5" s="76">
        <v>9383.3505859375</v>
      </c>
      <c r="N5" s="76">
        <v>4999.5</v>
      </c>
      <c r="O5" s="77"/>
      <c r="P5" s="78"/>
      <c r="Q5" s="78"/>
      <c r="R5" s="89"/>
      <c r="S5" s="49">
        <v>7</v>
      </c>
      <c r="T5" s="49">
        <v>1</v>
      </c>
      <c r="U5" s="50">
        <v>30</v>
      </c>
      <c r="V5" s="50">
        <v>0.033333</v>
      </c>
      <c r="W5" s="50">
        <v>0</v>
      </c>
      <c r="X5" s="50">
        <v>0.009301</v>
      </c>
      <c r="Y5" s="50">
        <v>0</v>
      </c>
      <c r="Z5" s="50">
        <v>0</v>
      </c>
      <c r="AA5" s="73">
        <v>5</v>
      </c>
      <c r="AB5" s="73"/>
      <c r="AC5" s="74"/>
      <c r="AD5" s="81" t="s">
        <v>769</v>
      </c>
      <c r="AE5" s="81" t="s">
        <v>811</v>
      </c>
      <c r="AF5" s="81"/>
      <c r="AG5" s="81"/>
      <c r="AH5" s="81"/>
      <c r="AI5" s="81" t="s">
        <v>901</v>
      </c>
      <c r="AJ5" s="85">
        <v>41378.75369212963</v>
      </c>
      <c r="AK5" s="83" t="str">
        <f>HYPERLINK("https://yt3.ggpht.com/HKqZu2XDiAK1EMUwmwgpuDynb63jK3e0B6SC1_tmLXzCvyMmgVSY7OCAh6iDnAHIlnqADy10Jvw=s88-c-k-c0x00ffffff-no-rj")</f>
        <v>https://yt3.ggpht.com/HKqZu2XDiAK1EMUwmwgpuDynb63jK3e0B6SC1_tmLXzCvyMmgVSY7OCAh6iDnAHIlnqADy10Jvw=s88-c-k-c0x00ffffff-no-rj</v>
      </c>
      <c r="AL5" s="81">
        <v>259379987</v>
      </c>
      <c r="AM5" s="81">
        <v>0</v>
      </c>
      <c r="AN5" s="81">
        <v>822000</v>
      </c>
      <c r="AO5" s="81" t="b">
        <v>0</v>
      </c>
      <c r="AP5" s="81">
        <v>53166</v>
      </c>
      <c r="AQ5" s="81"/>
      <c r="AR5" s="81"/>
      <c r="AS5" s="81" t="s">
        <v>1057</v>
      </c>
      <c r="AT5" s="83" t="str">
        <f>HYPERLINK("https://www.youtube.com/channel/UCMeYPU1YfXjxsUa6QXWsfjg")</f>
        <v>https://www.youtube.com/channel/UCMeYPU1YfXjxsUa6QXWsfjg</v>
      </c>
      <c r="AU5" s="81">
        <v>4</v>
      </c>
      <c r="AV5" s="49"/>
      <c r="AW5" s="50"/>
      <c r="AX5" s="49"/>
      <c r="AY5" s="50"/>
      <c r="AZ5" s="49"/>
      <c r="BA5" s="50"/>
      <c r="BB5" s="49"/>
      <c r="BC5" s="50"/>
      <c r="BD5" s="49"/>
      <c r="BE5" s="49"/>
      <c r="BF5" s="49"/>
      <c r="BG5" s="49"/>
      <c r="BH5" s="49"/>
      <c r="BI5" s="49"/>
      <c r="BJ5" s="49"/>
      <c r="BK5" s="115" t="s">
        <v>1634</v>
      </c>
      <c r="BL5" s="115" t="s">
        <v>1634</v>
      </c>
      <c r="BM5" s="115" t="s">
        <v>1634</v>
      </c>
      <c r="BN5" s="115" t="s">
        <v>1634</v>
      </c>
      <c r="BO5" s="2"/>
      <c r="BP5" s="3"/>
      <c r="BQ5" s="3"/>
      <c r="BR5" s="3"/>
      <c r="BS5" s="3"/>
    </row>
    <row r="6" spans="1:71" ht="15">
      <c r="A6" s="66" t="s">
        <v>242</v>
      </c>
      <c r="B6" s="67"/>
      <c r="C6" s="67">
        <v>11</v>
      </c>
      <c r="D6" s="68">
        <v>186.7965367965368</v>
      </c>
      <c r="E6" s="70"/>
      <c r="F6" s="103" t="str">
        <f>HYPERLINK("https://yt3.ggpht.com/ytc/AOPolaQWgMhH9LbQL209euNYUDGmyNt3pI9a0tWdVQ4-dA=s88-c-k-c0x00ffffff-no-rj")</f>
        <v>https://yt3.ggpht.com/ytc/AOPolaQWgMhH9LbQL209euNYUDGmyNt3pI9a0tWdVQ4-dA=s88-c-k-c0x00ffffff-no-rj</v>
      </c>
      <c r="G6" s="67"/>
      <c r="H6" s="71" t="s">
        <v>767</v>
      </c>
      <c r="I6" s="72"/>
      <c r="J6" s="72" t="s">
        <v>75</v>
      </c>
      <c r="K6" s="71" t="s">
        <v>767</v>
      </c>
      <c r="L6" s="75">
        <v>24.884376493072146</v>
      </c>
      <c r="M6" s="76">
        <v>6068.0849609375</v>
      </c>
      <c r="N6" s="76">
        <v>2367.5439453125</v>
      </c>
      <c r="O6" s="77"/>
      <c r="P6" s="78"/>
      <c r="Q6" s="78"/>
      <c r="R6" s="89"/>
      <c r="S6" s="49">
        <v>6</v>
      </c>
      <c r="T6" s="49">
        <v>1</v>
      </c>
      <c r="U6" s="50">
        <v>20</v>
      </c>
      <c r="V6" s="50">
        <v>0.027778</v>
      </c>
      <c r="W6" s="50">
        <v>0</v>
      </c>
      <c r="X6" s="50">
        <v>0.008594</v>
      </c>
      <c r="Y6" s="50">
        <v>0</v>
      </c>
      <c r="Z6" s="50">
        <v>0</v>
      </c>
      <c r="AA6" s="73">
        <v>6</v>
      </c>
      <c r="AB6" s="73"/>
      <c r="AC6" s="74"/>
      <c r="AD6" s="81" t="s">
        <v>767</v>
      </c>
      <c r="AE6" s="81" t="s">
        <v>808</v>
      </c>
      <c r="AF6" s="81"/>
      <c r="AG6" s="81"/>
      <c r="AH6" s="81"/>
      <c r="AI6" s="81" t="s">
        <v>893</v>
      </c>
      <c r="AJ6" s="85">
        <v>40997.055300925924</v>
      </c>
      <c r="AK6" s="83" t="str">
        <f>HYPERLINK("https://yt3.ggpht.com/ytc/AOPolaQWgMhH9LbQL209euNYUDGmyNt3pI9a0tWdVQ4-dA=s88-c-k-c0x00ffffff-no-rj")</f>
        <v>https://yt3.ggpht.com/ytc/AOPolaQWgMhH9LbQL209euNYUDGmyNt3pI9a0tWdVQ4-dA=s88-c-k-c0x00ffffff-no-rj</v>
      </c>
      <c r="AL6" s="81">
        <v>67270545</v>
      </c>
      <c r="AM6" s="81">
        <v>0</v>
      </c>
      <c r="AN6" s="81">
        <v>237000</v>
      </c>
      <c r="AO6" s="81" t="b">
        <v>0</v>
      </c>
      <c r="AP6" s="81">
        <v>26556</v>
      </c>
      <c r="AQ6" s="81"/>
      <c r="AR6" s="81"/>
      <c r="AS6" s="81" t="s">
        <v>1057</v>
      </c>
      <c r="AT6" s="83" t="str">
        <f>HYPERLINK("https://www.youtube.com/channel/UCUTeE-as508hixQrNVHO7vQ")</f>
        <v>https://www.youtube.com/channel/UCUTeE-as508hixQrNVHO7vQ</v>
      </c>
      <c r="AU6" s="81">
        <v>5</v>
      </c>
      <c r="AV6" s="49"/>
      <c r="AW6" s="50"/>
      <c r="AX6" s="49"/>
      <c r="AY6" s="50"/>
      <c r="AZ6" s="49"/>
      <c r="BA6" s="50"/>
      <c r="BB6" s="49"/>
      <c r="BC6" s="50"/>
      <c r="BD6" s="49"/>
      <c r="BE6" s="49"/>
      <c r="BF6" s="49"/>
      <c r="BG6" s="49"/>
      <c r="BH6" s="49"/>
      <c r="BI6" s="49"/>
      <c r="BJ6" s="49"/>
      <c r="BK6" s="115" t="s">
        <v>1634</v>
      </c>
      <c r="BL6" s="115" t="s">
        <v>1634</v>
      </c>
      <c r="BM6" s="115" t="s">
        <v>1634</v>
      </c>
      <c r="BN6" s="115" t="s">
        <v>1634</v>
      </c>
      <c r="BO6" s="2"/>
      <c r="BP6" s="3"/>
      <c r="BQ6" s="3"/>
      <c r="BR6" s="3"/>
      <c r="BS6" s="3"/>
    </row>
    <row r="7" spans="1:71" ht="15">
      <c r="A7" s="66" t="s">
        <v>270</v>
      </c>
      <c r="B7" s="67"/>
      <c r="C7" s="67">
        <v>11</v>
      </c>
      <c r="D7" s="68">
        <v>172.07792207792207</v>
      </c>
      <c r="E7" s="70"/>
      <c r="F7" s="103" t="str">
        <f>HYPERLINK("https://yt3.ggpht.com/00h3Ad30CeiSS0FWJw_rjxrxODGp0KOp-rqOl1L26-aN_R2TKmKLPA78WrLM5QMpzWarGZ3Qrw=s88-c-k-c0x00ffffff-no-rj")</f>
        <v>https://yt3.ggpht.com/00h3Ad30CeiSS0FWJw_rjxrxODGp0KOp-rqOl1L26-aN_R2TKmKLPA78WrLM5QMpzWarGZ3Qrw=s88-c-k-c0x00ffffff-no-rj</v>
      </c>
      <c r="G7" s="67"/>
      <c r="H7" s="71" t="s">
        <v>590</v>
      </c>
      <c r="I7" s="72"/>
      <c r="J7" s="72" t="s">
        <v>75</v>
      </c>
      <c r="K7" s="71" t="s">
        <v>590</v>
      </c>
      <c r="L7" s="75">
        <v>15.330625895843287</v>
      </c>
      <c r="M7" s="76">
        <v>6050.35009765625</v>
      </c>
      <c r="N7" s="76">
        <v>811.700439453125</v>
      </c>
      <c r="O7" s="77"/>
      <c r="P7" s="78"/>
      <c r="Q7" s="78"/>
      <c r="R7" s="89"/>
      <c r="S7" s="49">
        <v>5</v>
      </c>
      <c r="T7" s="49">
        <v>1</v>
      </c>
      <c r="U7" s="50">
        <v>12</v>
      </c>
      <c r="V7" s="50">
        <v>0.022222</v>
      </c>
      <c r="W7" s="50">
        <v>0</v>
      </c>
      <c r="X7" s="50">
        <v>0.007893</v>
      </c>
      <c r="Y7" s="50">
        <v>0</v>
      </c>
      <c r="Z7" s="50">
        <v>0</v>
      </c>
      <c r="AA7" s="73">
        <v>7</v>
      </c>
      <c r="AB7" s="73"/>
      <c r="AC7" s="74"/>
      <c r="AD7" s="81" t="s">
        <v>590</v>
      </c>
      <c r="AE7" s="81" t="s">
        <v>820</v>
      </c>
      <c r="AF7" s="81"/>
      <c r="AG7" s="81"/>
      <c r="AH7" s="81"/>
      <c r="AI7" s="81" t="s">
        <v>921</v>
      </c>
      <c r="AJ7" s="85">
        <v>40515.615428240744</v>
      </c>
      <c r="AK7" s="83" t="str">
        <f>HYPERLINK("https://yt3.ggpht.com/00h3Ad30CeiSS0FWJw_rjxrxODGp0KOp-rqOl1L26-aN_R2TKmKLPA78WrLM5QMpzWarGZ3Qrw=s88-c-k-c0x00ffffff-no-rj")</f>
        <v>https://yt3.ggpht.com/00h3Ad30CeiSS0FWJw_rjxrxODGp0KOp-rqOl1L26-aN_R2TKmKLPA78WrLM5QMpzWarGZ3Qrw=s88-c-k-c0x00ffffff-no-rj</v>
      </c>
      <c r="AL7" s="81">
        <v>1789090</v>
      </c>
      <c r="AM7" s="81">
        <v>0</v>
      </c>
      <c r="AN7" s="81">
        <v>11600</v>
      </c>
      <c r="AO7" s="81" t="b">
        <v>0</v>
      </c>
      <c r="AP7" s="81">
        <v>196</v>
      </c>
      <c r="AQ7" s="81"/>
      <c r="AR7" s="81"/>
      <c r="AS7" s="81" t="s">
        <v>1057</v>
      </c>
      <c r="AT7" s="83" t="str">
        <f>HYPERLINK("https://www.youtube.com/channel/UC4ljqPLcbaPXA8KI73vPLhg")</f>
        <v>https://www.youtube.com/channel/UC4ljqPLcbaPXA8KI73vPLhg</v>
      </c>
      <c r="AU7" s="81">
        <v>6</v>
      </c>
      <c r="AV7" s="49">
        <v>0</v>
      </c>
      <c r="AW7" s="50">
        <v>0</v>
      </c>
      <c r="AX7" s="49">
        <v>0</v>
      </c>
      <c r="AY7" s="50">
        <v>0</v>
      </c>
      <c r="AZ7" s="49">
        <v>0</v>
      </c>
      <c r="BA7" s="50">
        <v>0</v>
      </c>
      <c r="BB7" s="49">
        <v>19</v>
      </c>
      <c r="BC7" s="50">
        <v>48.717948717948715</v>
      </c>
      <c r="BD7" s="49">
        <v>39</v>
      </c>
      <c r="BE7" s="49" t="s">
        <v>1574</v>
      </c>
      <c r="BF7" s="49" t="s">
        <v>1574</v>
      </c>
      <c r="BG7" s="49" t="s">
        <v>1058</v>
      </c>
      <c r="BH7" s="49" t="s">
        <v>1058</v>
      </c>
      <c r="BI7" s="49"/>
      <c r="BJ7" s="49"/>
      <c r="BK7" s="115" t="s">
        <v>1096</v>
      </c>
      <c r="BL7" s="115" t="s">
        <v>1096</v>
      </c>
      <c r="BM7" s="115" t="s">
        <v>1227</v>
      </c>
      <c r="BN7" s="115" t="s">
        <v>1227</v>
      </c>
      <c r="BO7" s="2"/>
      <c r="BP7" s="3"/>
      <c r="BQ7" s="3"/>
      <c r="BR7" s="3"/>
      <c r="BS7" s="3"/>
    </row>
    <row r="8" spans="1:71" ht="15">
      <c r="A8" s="66" t="s">
        <v>279</v>
      </c>
      <c r="B8" s="67"/>
      <c r="C8" s="67"/>
      <c r="D8" s="68">
        <v>161.03896103896105</v>
      </c>
      <c r="E8" s="70"/>
      <c r="F8" s="103" t="str">
        <f>HYPERLINK("https://yt3.ggpht.com/ytc/AOPolaTDkZze39hisHi8DZDPLZAWuW8DCOJVOk-75DS-iQ=s88-c-k-c0x00ffffff-no-rj")</f>
        <v>https://yt3.ggpht.com/ytc/AOPolaTDkZze39hisHi8DZDPLZAWuW8DCOJVOk-75DS-iQ=s88-c-k-c0x00ffffff-no-rj</v>
      </c>
      <c r="G8" s="67"/>
      <c r="H8" s="71" t="s">
        <v>775</v>
      </c>
      <c r="I8" s="72"/>
      <c r="J8" s="72" t="s">
        <v>75</v>
      </c>
      <c r="K8" s="71" t="s">
        <v>775</v>
      </c>
      <c r="L8" s="75">
        <v>8.165312947921644</v>
      </c>
      <c r="M8" s="76">
        <v>7804.42138671875</v>
      </c>
      <c r="N8" s="76">
        <v>1964.6024169921875</v>
      </c>
      <c r="O8" s="77"/>
      <c r="P8" s="78"/>
      <c r="Q8" s="78"/>
      <c r="R8" s="89"/>
      <c r="S8" s="49">
        <v>4</v>
      </c>
      <c r="T8" s="49">
        <v>1</v>
      </c>
      <c r="U8" s="50">
        <v>6</v>
      </c>
      <c r="V8" s="50">
        <v>0.016667</v>
      </c>
      <c r="W8" s="50">
        <v>0</v>
      </c>
      <c r="X8" s="50">
        <v>0.007201</v>
      </c>
      <c r="Y8" s="50">
        <v>0</v>
      </c>
      <c r="Z8" s="50">
        <v>0</v>
      </c>
      <c r="AA8" s="73">
        <v>8</v>
      </c>
      <c r="AB8" s="73"/>
      <c r="AC8" s="74"/>
      <c r="AD8" s="81" t="s">
        <v>775</v>
      </c>
      <c r="AE8" s="81" t="s">
        <v>826</v>
      </c>
      <c r="AF8" s="81"/>
      <c r="AG8" s="81"/>
      <c r="AH8" s="81"/>
      <c r="AI8" s="81" t="s">
        <v>931</v>
      </c>
      <c r="AJ8" s="85">
        <v>42138.691099537034</v>
      </c>
      <c r="AK8" s="83" t="str">
        <f>HYPERLINK("https://yt3.ggpht.com/ytc/AOPolaTDkZze39hisHi8DZDPLZAWuW8DCOJVOk-75DS-iQ=s88-c-k-c0x00ffffff-no-rj")</f>
        <v>https://yt3.ggpht.com/ytc/AOPolaTDkZze39hisHi8DZDPLZAWuW8DCOJVOk-75DS-iQ=s88-c-k-c0x00ffffff-no-rj</v>
      </c>
      <c r="AL8" s="81">
        <v>3120755</v>
      </c>
      <c r="AM8" s="81">
        <v>0</v>
      </c>
      <c r="AN8" s="81">
        <v>7610</v>
      </c>
      <c r="AO8" s="81" t="b">
        <v>0</v>
      </c>
      <c r="AP8" s="81">
        <v>297</v>
      </c>
      <c r="AQ8" s="81"/>
      <c r="AR8" s="81"/>
      <c r="AS8" s="81" t="s">
        <v>1057</v>
      </c>
      <c r="AT8" s="83" t="str">
        <f>HYPERLINK("https://www.youtube.com/channel/UCWJTR_566mevyIG30OveSBQ")</f>
        <v>https://www.youtube.com/channel/UCWJTR_566mevyIG30OveSBQ</v>
      </c>
      <c r="AU8" s="81">
        <v>7</v>
      </c>
      <c r="AV8" s="49"/>
      <c r="AW8" s="50"/>
      <c r="AX8" s="49"/>
      <c r="AY8" s="50"/>
      <c r="AZ8" s="49"/>
      <c r="BA8" s="50"/>
      <c r="BB8" s="49"/>
      <c r="BC8" s="50"/>
      <c r="BD8" s="49"/>
      <c r="BE8" s="49"/>
      <c r="BF8" s="49"/>
      <c r="BG8" s="49"/>
      <c r="BH8" s="49"/>
      <c r="BI8" s="49"/>
      <c r="BJ8" s="49"/>
      <c r="BK8" s="115" t="s">
        <v>1634</v>
      </c>
      <c r="BL8" s="115" t="s">
        <v>1634</v>
      </c>
      <c r="BM8" s="115" t="s">
        <v>1634</v>
      </c>
      <c r="BN8" s="115" t="s">
        <v>1634</v>
      </c>
      <c r="BO8" s="2"/>
      <c r="BP8" s="3"/>
      <c r="BQ8" s="3"/>
      <c r="BR8" s="3"/>
      <c r="BS8" s="3"/>
    </row>
    <row r="9" spans="1:71" ht="15">
      <c r="A9" s="66" t="s">
        <v>254</v>
      </c>
      <c r="B9" s="67"/>
      <c r="C9" s="67"/>
      <c r="D9" s="68">
        <v>153.67965367965368</v>
      </c>
      <c r="E9" s="70"/>
      <c r="F9" s="103" t="str">
        <f>HYPERLINK("https://yt3.ggpht.com/L8irqEmpi37buYveRShxDoYvBTtJs4UboF4yo7sPY86uzdIy_oJ06A3VsP-TGjzFpEewg_iV1Cw=s88-c-k-c0x00ffffff-no-rj")</f>
        <v>https://yt3.ggpht.com/L8irqEmpi37buYveRShxDoYvBTtJs4UboF4yo7sPY86uzdIy_oJ06A3VsP-TGjzFpEewg_iV1Cw=s88-c-k-c0x00ffffff-no-rj</v>
      </c>
      <c r="G9" s="67"/>
      <c r="H9" s="71" t="s">
        <v>770</v>
      </c>
      <c r="I9" s="72"/>
      <c r="J9" s="72" t="s">
        <v>75</v>
      </c>
      <c r="K9" s="71" t="s">
        <v>770</v>
      </c>
      <c r="L9" s="75">
        <v>3.3884376493072144</v>
      </c>
      <c r="M9" s="76">
        <v>7278.99609375</v>
      </c>
      <c r="N9" s="76">
        <v>456.1325378417969</v>
      </c>
      <c r="O9" s="77"/>
      <c r="P9" s="78"/>
      <c r="Q9" s="78"/>
      <c r="R9" s="89"/>
      <c r="S9" s="49">
        <v>3</v>
      </c>
      <c r="T9" s="49">
        <v>1</v>
      </c>
      <c r="U9" s="50">
        <v>2</v>
      </c>
      <c r="V9" s="50">
        <v>0.011111</v>
      </c>
      <c r="W9" s="50">
        <v>0</v>
      </c>
      <c r="X9" s="50">
        <v>0.006529</v>
      </c>
      <c r="Y9" s="50">
        <v>0</v>
      </c>
      <c r="Z9" s="50">
        <v>0</v>
      </c>
      <c r="AA9" s="73">
        <v>9</v>
      </c>
      <c r="AB9" s="73"/>
      <c r="AC9" s="74"/>
      <c r="AD9" s="81" t="s">
        <v>770</v>
      </c>
      <c r="AE9" s="81" t="s">
        <v>816</v>
      </c>
      <c r="AF9" s="81"/>
      <c r="AG9" s="81"/>
      <c r="AH9" s="81"/>
      <c r="AI9" s="81" t="s">
        <v>908</v>
      </c>
      <c r="AJ9" s="85">
        <v>42194.01380787037</v>
      </c>
      <c r="AK9" s="83" t="str">
        <f>HYPERLINK("https://yt3.ggpht.com/L8irqEmpi37buYveRShxDoYvBTtJs4UboF4yo7sPY86uzdIy_oJ06A3VsP-TGjzFpEewg_iV1Cw=s88-c-k-c0x00ffffff-no-rj")</f>
        <v>https://yt3.ggpht.com/L8irqEmpi37buYveRShxDoYvBTtJs4UboF4yo7sPY86uzdIy_oJ06A3VsP-TGjzFpEewg_iV1Cw=s88-c-k-c0x00ffffff-no-rj</v>
      </c>
      <c r="AL9" s="81">
        <v>161673791</v>
      </c>
      <c r="AM9" s="81">
        <v>0</v>
      </c>
      <c r="AN9" s="81">
        <v>670000</v>
      </c>
      <c r="AO9" s="81" t="b">
        <v>0</v>
      </c>
      <c r="AP9" s="81">
        <v>26165</v>
      </c>
      <c r="AQ9" s="81"/>
      <c r="AR9" s="81"/>
      <c r="AS9" s="81" t="s">
        <v>1057</v>
      </c>
      <c r="AT9" s="83" t="str">
        <f>HYPERLINK("https://www.youtube.com/channel/UC1_E8NeF5QHY2dtdLRBCCLA")</f>
        <v>https://www.youtube.com/channel/UC1_E8NeF5QHY2dtdLRBCCLA</v>
      </c>
      <c r="AU9" s="81">
        <v>9</v>
      </c>
      <c r="AV9" s="49"/>
      <c r="AW9" s="50"/>
      <c r="AX9" s="49"/>
      <c r="AY9" s="50"/>
      <c r="AZ9" s="49"/>
      <c r="BA9" s="50"/>
      <c r="BB9" s="49"/>
      <c r="BC9" s="50"/>
      <c r="BD9" s="49"/>
      <c r="BE9" s="49"/>
      <c r="BF9" s="49"/>
      <c r="BG9" s="49"/>
      <c r="BH9" s="49"/>
      <c r="BI9" s="49"/>
      <c r="BJ9" s="49"/>
      <c r="BK9" s="115" t="s">
        <v>1634</v>
      </c>
      <c r="BL9" s="115" t="s">
        <v>1634</v>
      </c>
      <c r="BM9" s="115" t="s">
        <v>1634</v>
      </c>
      <c r="BN9" s="115" t="s">
        <v>1634</v>
      </c>
      <c r="BO9" s="2"/>
      <c r="BP9" s="3"/>
      <c r="BQ9" s="3"/>
      <c r="BR9" s="3"/>
      <c r="BS9" s="3"/>
    </row>
    <row r="10" spans="1:71" ht="15">
      <c r="A10" s="66" t="s">
        <v>275</v>
      </c>
      <c r="B10" s="67"/>
      <c r="C10" s="67"/>
      <c r="D10" s="68">
        <v>153.67965367965368</v>
      </c>
      <c r="E10" s="70"/>
      <c r="F10" s="103" t="str">
        <f>HYPERLINK("https://yt3.ggpht.com/7Bq23AzzsftxspgbHDqmKswkeHMZAg8D2b5HuoopqCuU78y-AcAUQPK7FEQVTF4LeoACNOP-Uco=s88-c-k-c0x00ffffff-no-rj")</f>
        <v>https://yt3.ggpht.com/7Bq23AzzsftxspgbHDqmKswkeHMZAg8D2b5HuoopqCuU78y-AcAUQPK7FEQVTF4LeoACNOP-Uco=s88-c-k-c0x00ffffff-no-rj</v>
      </c>
      <c r="G10" s="67"/>
      <c r="H10" s="71" t="s">
        <v>774</v>
      </c>
      <c r="I10" s="72"/>
      <c r="J10" s="72" t="s">
        <v>75</v>
      </c>
      <c r="K10" s="71" t="s">
        <v>774</v>
      </c>
      <c r="L10" s="75">
        <v>3.3884376493072144</v>
      </c>
      <c r="M10" s="76">
        <v>8420.0712890625</v>
      </c>
      <c r="N10" s="76">
        <v>2244.746826171875</v>
      </c>
      <c r="O10" s="77"/>
      <c r="P10" s="78"/>
      <c r="Q10" s="78"/>
      <c r="R10" s="89"/>
      <c r="S10" s="49">
        <v>3</v>
      </c>
      <c r="T10" s="49">
        <v>1</v>
      </c>
      <c r="U10" s="50">
        <v>2</v>
      </c>
      <c r="V10" s="50">
        <v>0.011111</v>
      </c>
      <c r="W10" s="50">
        <v>0</v>
      </c>
      <c r="X10" s="50">
        <v>0.006529</v>
      </c>
      <c r="Y10" s="50">
        <v>0</v>
      </c>
      <c r="Z10" s="50">
        <v>0</v>
      </c>
      <c r="AA10" s="73">
        <v>10</v>
      </c>
      <c r="AB10" s="73"/>
      <c r="AC10" s="74"/>
      <c r="AD10" s="81" t="s">
        <v>774</v>
      </c>
      <c r="AE10" s="81" t="s">
        <v>824</v>
      </c>
      <c r="AF10" s="81"/>
      <c r="AG10" s="81"/>
      <c r="AH10" s="81"/>
      <c r="AI10" s="81" t="s">
        <v>928</v>
      </c>
      <c r="AJ10" s="85">
        <v>44240.05075231481</v>
      </c>
      <c r="AK10" s="83" t="str">
        <f>HYPERLINK("https://yt3.ggpht.com/7Bq23AzzsftxspgbHDqmKswkeHMZAg8D2b5HuoopqCuU78y-AcAUQPK7FEQVTF4LeoACNOP-Uco=s88-c-k-c0x00ffffff-no-rj")</f>
        <v>https://yt3.ggpht.com/7Bq23AzzsftxspgbHDqmKswkeHMZAg8D2b5HuoopqCuU78y-AcAUQPK7FEQVTF4LeoACNOP-Uco=s88-c-k-c0x00ffffff-no-rj</v>
      </c>
      <c r="AL10" s="81">
        <v>567384</v>
      </c>
      <c r="AM10" s="81">
        <v>0</v>
      </c>
      <c r="AN10" s="81">
        <v>1340</v>
      </c>
      <c r="AO10" s="81" t="b">
        <v>0</v>
      </c>
      <c r="AP10" s="81">
        <v>229</v>
      </c>
      <c r="AQ10" s="81"/>
      <c r="AR10" s="81"/>
      <c r="AS10" s="81" t="s">
        <v>1057</v>
      </c>
      <c r="AT10" s="83" t="str">
        <f>HYPERLINK("https://www.youtube.com/channel/UC3vaRg3KrzNK7qkqDxIPchw")</f>
        <v>https://www.youtube.com/channel/UC3vaRg3KrzNK7qkqDxIPchw</v>
      </c>
      <c r="AU10" s="81">
        <v>8</v>
      </c>
      <c r="AV10" s="49"/>
      <c r="AW10" s="50"/>
      <c r="AX10" s="49"/>
      <c r="AY10" s="50"/>
      <c r="AZ10" s="49"/>
      <c r="BA10" s="50"/>
      <c r="BB10" s="49"/>
      <c r="BC10" s="50"/>
      <c r="BD10" s="49"/>
      <c r="BE10" s="49"/>
      <c r="BF10" s="49"/>
      <c r="BG10" s="49"/>
      <c r="BH10" s="49"/>
      <c r="BI10" s="49"/>
      <c r="BJ10" s="49"/>
      <c r="BK10" s="115" t="s">
        <v>1634</v>
      </c>
      <c r="BL10" s="115" t="s">
        <v>1634</v>
      </c>
      <c r="BM10" s="115" t="s">
        <v>1634</v>
      </c>
      <c r="BN10" s="115" t="s">
        <v>1634</v>
      </c>
      <c r="BO10" s="2"/>
      <c r="BP10" s="3"/>
      <c r="BQ10" s="3"/>
      <c r="BR10" s="3"/>
      <c r="BS10" s="3"/>
    </row>
    <row r="11" spans="1:71" ht="15">
      <c r="A11" s="66" t="s">
        <v>403</v>
      </c>
      <c r="B11" s="67"/>
      <c r="C11" s="67"/>
      <c r="D11" s="68">
        <v>150</v>
      </c>
      <c r="E11" s="70"/>
      <c r="F11" s="103" t="str">
        <f>HYPERLINK("https://yt3.ggpht.com/ytc/AOPolaQNuk271Y_J36kNtTwbawr5qNaUcLTPVKzeNAORs3UDUVHpt83JIKVtIoDutr0k=s88-c-k-c0x00ffffff-no-rj")</f>
        <v>https://yt3.ggpht.com/ytc/AOPolaQNuk271Y_J36kNtTwbawr5qNaUcLTPVKzeNAORs3UDUVHpt83JIKVtIoDutr0k=s88-c-k-c0x00ffffff-no-rj</v>
      </c>
      <c r="G11" s="67"/>
      <c r="H11" s="71" t="s">
        <v>691</v>
      </c>
      <c r="I11" s="72"/>
      <c r="J11" s="72" t="s">
        <v>159</v>
      </c>
      <c r="K11" s="71" t="s">
        <v>691</v>
      </c>
      <c r="L11" s="75">
        <v>1</v>
      </c>
      <c r="M11" s="76">
        <v>7973.80419921875</v>
      </c>
      <c r="N11" s="76">
        <v>6314.30078125</v>
      </c>
      <c r="O11" s="77"/>
      <c r="P11" s="78"/>
      <c r="Q11" s="78"/>
      <c r="R11" s="49"/>
      <c r="S11" s="49">
        <v>0</v>
      </c>
      <c r="T11" s="49">
        <v>1</v>
      </c>
      <c r="U11" s="50">
        <v>0</v>
      </c>
      <c r="V11" s="50">
        <v>0.062532</v>
      </c>
      <c r="W11" s="50">
        <v>0</v>
      </c>
      <c r="X11" s="50">
        <v>0.004832</v>
      </c>
      <c r="Y11" s="50">
        <v>0</v>
      </c>
      <c r="Z11" s="50">
        <v>0</v>
      </c>
      <c r="AA11" s="73">
        <v>11</v>
      </c>
      <c r="AB11" s="73"/>
      <c r="AC11" s="74"/>
      <c r="AD11" s="81" t="s">
        <v>691</v>
      </c>
      <c r="AE11" s="81"/>
      <c r="AF11" s="81"/>
      <c r="AG11" s="81"/>
      <c r="AH11" s="81"/>
      <c r="AI11" s="81" t="s">
        <v>1056</v>
      </c>
      <c r="AJ11" s="85">
        <v>41639.946493055555</v>
      </c>
      <c r="AK11" s="83" t="str">
        <f>HYPERLINK("https://yt3.ggpht.com/ytc/AOPolaQNuk271Y_J36kNtTwbawr5qNaUcLTPVKzeNAORs3UDUVHpt83JIKVtIoDutr0k=s88-c-k-c0x00ffffff-no-rj")</f>
        <v>https://yt3.ggpht.com/ytc/AOPolaQNuk271Y_J36kNtTwbawr5qNaUcLTPVKzeNAORs3UDUVHpt83JIKVtIoDutr0k=s88-c-k-c0x00ffffff-no-rj</v>
      </c>
      <c r="AL11" s="81">
        <v>0</v>
      </c>
      <c r="AM11" s="81">
        <v>0</v>
      </c>
      <c r="AN11" s="81">
        <v>0</v>
      </c>
      <c r="AO11" s="81" t="b">
        <v>0</v>
      </c>
      <c r="AP11" s="81">
        <v>0</v>
      </c>
      <c r="AQ11" s="81"/>
      <c r="AR11" s="81"/>
      <c r="AS11" s="81" t="s">
        <v>1057</v>
      </c>
      <c r="AT11" s="83" t="str">
        <f>HYPERLINK("https://www.youtube.com/channel/UCrUXf4iY0j_IQGpFPsTQa1Q")</f>
        <v>https://www.youtube.com/channel/UCrUXf4iY0j_IQGpFPsTQa1Q</v>
      </c>
      <c r="AU11" s="81" t="str">
        <f>REPLACE(INDEX(GroupVertices[Group],MATCH(Vertices[[#This Row],[Vertex]],GroupVertices[Vertex],0)),1,1,"")</f>
        <v>3</v>
      </c>
      <c r="AV11" s="49">
        <v>1</v>
      </c>
      <c r="AW11" s="50">
        <v>7.6923076923076925</v>
      </c>
      <c r="AX11" s="49">
        <v>0</v>
      </c>
      <c r="AY11" s="50">
        <v>0</v>
      </c>
      <c r="AZ11" s="49">
        <v>0</v>
      </c>
      <c r="BA11" s="50">
        <v>0</v>
      </c>
      <c r="BB11" s="49">
        <v>5</v>
      </c>
      <c r="BC11" s="50">
        <v>38.46153846153846</v>
      </c>
      <c r="BD11" s="49">
        <v>13</v>
      </c>
      <c r="BE11" s="49"/>
      <c r="BF11" s="49"/>
      <c r="BG11" s="49"/>
      <c r="BH11" s="49"/>
      <c r="BI11" s="49"/>
      <c r="BJ11" s="49"/>
      <c r="BK11" s="115" t="s">
        <v>1192</v>
      </c>
      <c r="BL11" s="115" t="s">
        <v>1192</v>
      </c>
      <c r="BM11" s="115" t="s">
        <v>1315</v>
      </c>
      <c r="BN11" s="115" t="s">
        <v>1315</v>
      </c>
      <c r="BO11" s="2"/>
      <c r="BP11" s="3"/>
      <c r="BQ11" s="3"/>
      <c r="BR11" s="3"/>
      <c r="BS11" s="3"/>
    </row>
    <row r="12" spans="1:71" ht="15">
      <c r="A12" s="66" t="s">
        <v>223</v>
      </c>
      <c r="B12" s="67"/>
      <c r="C12" s="67"/>
      <c r="D12" s="68">
        <v>150</v>
      </c>
      <c r="E12" s="70"/>
      <c r="F12" s="103" t="str">
        <f>HYPERLINK("https://yt3.ggpht.com/ytc/AOPolaQ7lQ1KKtlBW113bCOtnckIJFLfOcZm4SyWZQ=s88-c-k-c0x00ffffff-no-rj")</f>
        <v>https://yt3.ggpht.com/ytc/AOPolaQ7lQ1KKtlBW113bCOtnckIJFLfOcZm4SyWZQ=s88-c-k-c0x00ffffff-no-rj</v>
      </c>
      <c r="G12" s="67"/>
      <c r="H12" s="71" t="s">
        <v>550</v>
      </c>
      <c r="I12" s="72"/>
      <c r="J12" s="72" t="s">
        <v>159</v>
      </c>
      <c r="K12" s="71" t="s">
        <v>550</v>
      </c>
      <c r="L12" s="75">
        <v>1</v>
      </c>
      <c r="M12" s="76">
        <v>5404.57763671875</v>
      </c>
      <c r="N12" s="76">
        <v>4181.40380859375</v>
      </c>
      <c r="O12" s="77"/>
      <c r="P12" s="78"/>
      <c r="Q12" s="78"/>
      <c r="R12" s="89"/>
      <c r="S12" s="49">
        <v>0</v>
      </c>
      <c r="T12" s="49">
        <v>1</v>
      </c>
      <c r="U12" s="50">
        <v>0</v>
      </c>
      <c r="V12" s="50">
        <v>0.062532</v>
      </c>
      <c r="W12" s="50">
        <v>0</v>
      </c>
      <c r="X12" s="50">
        <v>0.004832</v>
      </c>
      <c r="Y12" s="50">
        <v>0</v>
      </c>
      <c r="Z12" s="50">
        <v>0</v>
      </c>
      <c r="AA12" s="73">
        <v>12</v>
      </c>
      <c r="AB12" s="73"/>
      <c r="AC12" s="74"/>
      <c r="AD12" s="81" t="s">
        <v>550</v>
      </c>
      <c r="AE12" s="81"/>
      <c r="AF12" s="81"/>
      <c r="AG12" s="81"/>
      <c r="AH12" s="81"/>
      <c r="AI12" s="81" t="s">
        <v>877</v>
      </c>
      <c r="AJ12" s="85">
        <v>41131.10901620371</v>
      </c>
      <c r="AK12" s="83" t="str">
        <f>HYPERLINK("https://yt3.ggpht.com/ytc/AOPolaQ7lQ1KKtlBW113bCOtnckIJFLfOcZm4SyWZQ=s88-c-k-c0x00ffffff-no-rj")</f>
        <v>https://yt3.ggpht.com/ytc/AOPolaQ7lQ1KKtlBW113bCOtnckIJFLfOcZm4SyWZQ=s88-c-k-c0x00ffffff-no-rj</v>
      </c>
      <c r="AL12" s="81">
        <v>0</v>
      </c>
      <c r="AM12" s="81">
        <v>0</v>
      </c>
      <c r="AN12" s="81">
        <v>3</v>
      </c>
      <c r="AO12" s="81" t="b">
        <v>0</v>
      </c>
      <c r="AP12" s="81">
        <v>0</v>
      </c>
      <c r="AQ12" s="81"/>
      <c r="AR12" s="81"/>
      <c r="AS12" s="81" t="s">
        <v>1057</v>
      </c>
      <c r="AT12" s="83" t="str">
        <f>HYPERLINK("https://www.youtube.com/channel/UCgM23NLmNQQP4rdr0z9OV6w")</f>
        <v>https://www.youtube.com/channel/UCgM23NLmNQQP4rdr0z9OV6w</v>
      </c>
      <c r="AU12" s="81">
        <v>3</v>
      </c>
      <c r="AV12" s="49">
        <v>1</v>
      </c>
      <c r="AW12" s="50">
        <v>1.3157894736842106</v>
      </c>
      <c r="AX12" s="49">
        <v>0</v>
      </c>
      <c r="AY12" s="50">
        <v>0</v>
      </c>
      <c r="AZ12" s="49">
        <v>0</v>
      </c>
      <c r="BA12" s="50">
        <v>0</v>
      </c>
      <c r="BB12" s="49">
        <v>23</v>
      </c>
      <c r="BC12" s="50">
        <v>30.263157894736842</v>
      </c>
      <c r="BD12" s="49">
        <v>76</v>
      </c>
      <c r="BE12" s="49"/>
      <c r="BF12" s="49"/>
      <c r="BG12" s="49"/>
      <c r="BH12" s="49"/>
      <c r="BI12" s="49"/>
      <c r="BJ12" s="49"/>
      <c r="BK12" s="115" t="s">
        <v>1060</v>
      </c>
      <c r="BL12" s="115" t="s">
        <v>1060</v>
      </c>
      <c r="BM12" s="115" t="s">
        <v>1193</v>
      </c>
      <c r="BN12" s="115" t="s">
        <v>1193</v>
      </c>
      <c r="BO12" s="2"/>
      <c r="BP12" s="3"/>
      <c r="BQ12" s="3"/>
      <c r="BR12" s="3"/>
      <c r="BS12" s="3"/>
    </row>
    <row r="13" spans="1:71" ht="15">
      <c r="A13" s="66" t="s">
        <v>224</v>
      </c>
      <c r="B13" s="67"/>
      <c r="C13" s="67"/>
      <c r="D13" s="68">
        <v>150</v>
      </c>
      <c r="E13" s="70"/>
      <c r="F13" s="103" t="str">
        <f>HYPERLINK("https://yt3.ggpht.com/ytc/AOPolaTUwnTpbiVxRVrOiBI4-74dxdG99gb84c7chxP9Zw=s88-c-k-c0x00ffffff-no-rj")</f>
        <v>https://yt3.ggpht.com/ytc/AOPolaTUwnTpbiVxRVrOiBI4-74dxdG99gb84c7chxP9Zw=s88-c-k-c0x00ffffff-no-rj</v>
      </c>
      <c r="G13" s="67"/>
      <c r="H13" s="71" t="s">
        <v>551</v>
      </c>
      <c r="I13" s="72"/>
      <c r="J13" s="72" t="s">
        <v>159</v>
      </c>
      <c r="K13" s="71" t="s">
        <v>551</v>
      </c>
      <c r="L13" s="75">
        <v>1</v>
      </c>
      <c r="M13" s="76">
        <v>6521.84228515625</v>
      </c>
      <c r="N13" s="76">
        <v>3746.26220703125</v>
      </c>
      <c r="O13" s="77"/>
      <c r="P13" s="78"/>
      <c r="Q13" s="78"/>
      <c r="R13" s="89"/>
      <c r="S13" s="49">
        <v>0</v>
      </c>
      <c r="T13" s="49">
        <v>1</v>
      </c>
      <c r="U13" s="50">
        <v>0</v>
      </c>
      <c r="V13" s="50">
        <v>0.062532</v>
      </c>
      <c r="W13" s="50">
        <v>0</v>
      </c>
      <c r="X13" s="50">
        <v>0.004832</v>
      </c>
      <c r="Y13" s="50">
        <v>0</v>
      </c>
      <c r="Z13" s="50">
        <v>0</v>
      </c>
      <c r="AA13" s="73">
        <v>13</v>
      </c>
      <c r="AB13" s="73"/>
      <c r="AC13" s="74"/>
      <c r="AD13" s="81" t="s">
        <v>551</v>
      </c>
      <c r="AE13" s="81" t="s">
        <v>806</v>
      </c>
      <c r="AF13" s="81"/>
      <c r="AG13" s="81"/>
      <c r="AH13" s="81"/>
      <c r="AI13" s="81" t="s">
        <v>878</v>
      </c>
      <c r="AJ13" s="85">
        <v>40819.76710648148</v>
      </c>
      <c r="AK13" s="83" t="str">
        <f>HYPERLINK("https://yt3.ggpht.com/ytc/AOPolaTUwnTpbiVxRVrOiBI4-74dxdG99gb84c7chxP9Zw=s88-c-k-c0x00ffffff-no-rj")</f>
        <v>https://yt3.ggpht.com/ytc/AOPolaTUwnTpbiVxRVrOiBI4-74dxdG99gb84c7chxP9Zw=s88-c-k-c0x00ffffff-no-rj</v>
      </c>
      <c r="AL13" s="81">
        <v>300</v>
      </c>
      <c r="AM13" s="81">
        <v>0</v>
      </c>
      <c r="AN13" s="81">
        <v>1</v>
      </c>
      <c r="AO13" s="81" t="b">
        <v>0</v>
      </c>
      <c r="AP13" s="81">
        <v>5</v>
      </c>
      <c r="AQ13" s="81"/>
      <c r="AR13" s="81"/>
      <c r="AS13" s="81" t="s">
        <v>1057</v>
      </c>
      <c r="AT13" s="83" t="str">
        <f>HYPERLINK("https://www.youtube.com/channel/UCqXLQYDIEN1NdwqGDImJ5jA")</f>
        <v>https://www.youtube.com/channel/UCqXLQYDIEN1NdwqGDImJ5jA</v>
      </c>
      <c r="AU13" s="81">
        <v>3</v>
      </c>
      <c r="AV13" s="49">
        <v>0</v>
      </c>
      <c r="AW13" s="50">
        <v>0</v>
      </c>
      <c r="AX13" s="49">
        <v>0</v>
      </c>
      <c r="AY13" s="50">
        <v>0</v>
      </c>
      <c r="AZ13" s="49">
        <v>0</v>
      </c>
      <c r="BA13" s="50">
        <v>0</v>
      </c>
      <c r="BB13" s="49">
        <v>5</v>
      </c>
      <c r="BC13" s="50">
        <v>50</v>
      </c>
      <c r="BD13" s="49">
        <v>10</v>
      </c>
      <c r="BE13" s="49"/>
      <c r="BF13" s="49"/>
      <c r="BG13" s="49"/>
      <c r="BH13" s="49"/>
      <c r="BI13" s="49"/>
      <c r="BJ13" s="49"/>
      <c r="BK13" s="115" t="s">
        <v>1061</v>
      </c>
      <c r="BL13" s="115" t="s">
        <v>1061</v>
      </c>
      <c r="BM13" s="115" t="s">
        <v>1194</v>
      </c>
      <c r="BN13" s="115" t="s">
        <v>1194</v>
      </c>
      <c r="BO13" s="2"/>
      <c r="BP13" s="3"/>
      <c r="BQ13" s="3"/>
      <c r="BR13" s="3"/>
      <c r="BS13" s="3"/>
    </row>
    <row r="14" spans="1:71" ht="15">
      <c r="A14" s="66" t="s">
        <v>225</v>
      </c>
      <c r="B14" s="67"/>
      <c r="C14" s="67"/>
      <c r="D14" s="68">
        <v>150</v>
      </c>
      <c r="E14" s="70"/>
      <c r="F14" s="103" t="str">
        <f>HYPERLINK("https://yt3.ggpht.com/ytc/AOPolaTirhn_odplHMPf9BlSnSQJPHO4bwhiDq_VZeOmNnGbPSWB5GEzDcqAIRwJVRho=s88-c-k-c0x00ffffff-no-rj")</f>
        <v>https://yt3.ggpht.com/ytc/AOPolaTirhn_odplHMPf9BlSnSQJPHO4bwhiDq_VZeOmNnGbPSWB5GEzDcqAIRwJVRho=s88-c-k-c0x00ffffff-no-rj</v>
      </c>
      <c r="G14" s="67"/>
      <c r="H14" s="71" t="s">
        <v>552</v>
      </c>
      <c r="I14" s="72"/>
      <c r="J14" s="72" t="s">
        <v>159</v>
      </c>
      <c r="K14" s="71" t="s">
        <v>552</v>
      </c>
      <c r="L14" s="75">
        <v>1</v>
      </c>
      <c r="M14" s="76">
        <v>7617.20654296875</v>
      </c>
      <c r="N14" s="76">
        <v>3557.00390625</v>
      </c>
      <c r="O14" s="77"/>
      <c r="P14" s="78"/>
      <c r="Q14" s="78"/>
      <c r="R14" s="89"/>
      <c r="S14" s="49">
        <v>0</v>
      </c>
      <c r="T14" s="49">
        <v>1</v>
      </c>
      <c r="U14" s="50">
        <v>0</v>
      </c>
      <c r="V14" s="50">
        <v>0.062532</v>
      </c>
      <c r="W14" s="50">
        <v>0</v>
      </c>
      <c r="X14" s="50">
        <v>0.004832</v>
      </c>
      <c r="Y14" s="50">
        <v>0</v>
      </c>
      <c r="Z14" s="50">
        <v>0</v>
      </c>
      <c r="AA14" s="73">
        <v>14</v>
      </c>
      <c r="AB14" s="73"/>
      <c r="AC14" s="74"/>
      <c r="AD14" s="81" t="s">
        <v>552</v>
      </c>
      <c r="AE14" s="81"/>
      <c r="AF14" s="81"/>
      <c r="AG14" s="81"/>
      <c r="AH14" s="81"/>
      <c r="AI14" s="81" t="s">
        <v>879</v>
      </c>
      <c r="AJ14" s="85">
        <v>44394.951319444444</v>
      </c>
      <c r="AK14" s="83" t="str">
        <f>HYPERLINK("https://yt3.ggpht.com/ytc/AOPolaTirhn_odplHMPf9BlSnSQJPHO4bwhiDq_VZeOmNnGbPSWB5GEzDcqAIRwJVRho=s88-c-k-c0x00ffffff-no-rj")</f>
        <v>https://yt3.ggpht.com/ytc/AOPolaTirhn_odplHMPf9BlSnSQJPHO4bwhiDq_VZeOmNnGbPSWB5GEzDcqAIRwJVRho=s88-c-k-c0x00ffffff-no-rj</v>
      </c>
      <c r="AL14" s="81">
        <v>0</v>
      </c>
      <c r="AM14" s="81">
        <v>0</v>
      </c>
      <c r="AN14" s="81">
        <v>4</v>
      </c>
      <c r="AO14" s="81" t="b">
        <v>0</v>
      </c>
      <c r="AP14" s="81">
        <v>0</v>
      </c>
      <c r="AQ14" s="81"/>
      <c r="AR14" s="81"/>
      <c r="AS14" s="81" t="s">
        <v>1057</v>
      </c>
      <c r="AT14" s="83" t="str">
        <f>HYPERLINK("https://www.youtube.com/channel/UCwbTK9LMWW5Hu683te9YcRQ")</f>
        <v>https://www.youtube.com/channel/UCwbTK9LMWW5Hu683te9YcRQ</v>
      </c>
      <c r="AU14" s="81">
        <v>3</v>
      </c>
      <c r="AV14" s="49">
        <v>0</v>
      </c>
      <c r="AW14" s="50">
        <v>0</v>
      </c>
      <c r="AX14" s="49">
        <v>2</v>
      </c>
      <c r="AY14" s="50">
        <v>25</v>
      </c>
      <c r="AZ14" s="49">
        <v>0</v>
      </c>
      <c r="BA14" s="50">
        <v>0</v>
      </c>
      <c r="BB14" s="49">
        <v>1</v>
      </c>
      <c r="BC14" s="50">
        <v>12.5</v>
      </c>
      <c r="BD14" s="49">
        <v>8</v>
      </c>
      <c r="BE14" s="49"/>
      <c r="BF14" s="49"/>
      <c r="BG14" s="49"/>
      <c r="BH14" s="49"/>
      <c r="BI14" s="49"/>
      <c r="BJ14" s="49"/>
      <c r="BK14" s="115" t="s">
        <v>1062</v>
      </c>
      <c r="BL14" s="115" t="s">
        <v>1062</v>
      </c>
      <c r="BM14" s="115" t="s">
        <v>1195</v>
      </c>
      <c r="BN14" s="115" t="s">
        <v>1195</v>
      </c>
      <c r="BO14" s="2"/>
      <c r="BP14" s="3"/>
      <c r="BQ14" s="3"/>
      <c r="BR14" s="3"/>
      <c r="BS14" s="3"/>
    </row>
    <row r="15" spans="1:71" ht="15">
      <c r="A15" s="66" t="s">
        <v>226</v>
      </c>
      <c r="B15" s="67"/>
      <c r="C15" s="67"/>
      <c r="D15" s="68">
        <v>150</v>
      </c>
      <c r="E15" s="70"/>
      <c r="F15" s="103" t="str">
        <f>HYPERLINK("https://yt3.ggpht.com/ytc/AOPolaTnYacfW6RftK5AnaQ4FNkZNSvqnlyADjv7ERq--EqPt-qVezp3nif24SAZBeVg=s88-c-k-c0x00ffffff-no-rj")</f>
        <v>https://yt3.ggpht.com/ytc/AOPolaTnYacfW6RftK5AnaQ4FNkZNSvqnlyADjv7ERq--EqPt-qVezp3nif24SAZBeVg=s88-c-k-c0x00ffffff-no-rj</v>
      </c>
      <c r="G15" s="67"/>
      <c r="H15" s="71" t="s">
        <v>553</v>
      </c>
      <c r="I15" s="72"/>
      <c r="J15" s="72" t="s">
        <v>159</v>
      </c>
      <c r="K15" s="71" t="s">
        <v>553</v>
      </c>
      <c r="L15" s="75">
        <v>1</v>
      </c>
      <c r="M15" s="76">
        <v>8653.0791015625</v>
      </c>
      <c r="N15" s="76">
        <v>4821.0947265625</v>
      </c>
      <c r="O15" s="77"/>
      <c r="P15" s="78"/>
      <c r="Q15" s="78"/>
      <c r="R15" s="89"/>
      <c r="S15" s="49">
        <v>0</v>
      </c>
      <c r="T15" s="49">
        <v>1</v>
      </c>
      <c r="U15" s="50">
        <v>0</v>
      </c>
      <c r="V15" s="50">
        <v>0.062532</v>
      </c>
      <c r="W15" s="50">
        <v>0</v>
      </c>
      <c r="X15" s="50">
        <v>0.004832</v>
      </c>
      <c r="Y15" s="50">
        <v>0</v>
      </c>
      <c r="Z15" s="50">
        <v>0</v>
      </c>
      <c r="AA15" s="73">
        <v>15</v>
      </c>
      <c r="AB15" s="73"/>
      <c r="AC15" s="74"/>
      <c r="AD15" s="81" t="s">
        <v>553</v>
      </c>
      <c r="AE15" s="81"/>
      <c r="AF15" s="81"/>
      <c r="AG15" s="81"/>
      <c r="AH15" s="81"/>
      <c r="AI15" s="81" t="s">
        <v>880</v>
      </c>
      <c r="AJ15" s="85">
        <v>45090.73652777778</v>
      </c>
      <c r="AK15" s="83" t="str">
        <f>HYPERLINK("https://yt3.ggpht.com/ytc/AOPolaTnYacfW6RftK5AnaQ4FNkZNSvqnlyADjv7ERq--EqPt-qVezp3nif24SAZBeVg=s88-c-k-c0x00ffffff-no-rj")</f>
        <v>https://yt3.ggpht.com/ytc/AOPolaTnYacfW6RftK5AnaQ4FNkZNSvqnlyADjv7ERq--EqPt-qVezp3nif24SAZBeVg=s88-c-k-c0x00ffffff-no-rj</v>
      </c>
      <c r="AL15" s="81">
        <v>0</v>
      </c>
      <c r="AM15" s="81">
        <v>0</v>
      </c>
      <c r="AN15" s="81">
        <v>0</v>
      </c>
      <c r="AO15" s="81" t="b">
        <v>0</v>
      </c>
      <c r="AP15" s="81">
        <v>0</v>
      </c>
      <c r="AQ15" s="81"/>
      <c r="AR15" s="81"/>
      <c r="AS15" s="81" t="s">
        <v>1057</v>
      </c>
      <c r="AT15" s="83" t="str">
        <f>HYPERLINK("https://www.youtube.com/channel/UCE8wRMsUR3Q2lj3izQ-yN6A")</f>
        <v>https://www.youtube.com/channel/UCE8wRMsUR3Q2lj3izQ-yN6A</v>
      </c>
      <c r="AU15" s="81">
        <v>3</v>
      </c>
      <c r="AV15" s="49">
        <v>4</v>
      </c>
      <c r="AW15" s="50">
        <v>7.407407407407407</v>
      </c>
      <c r="AX15" s="49">
        <v>0</v>
      </c>
      <c r="AY15" s="50">
        <v>0</v>
      </c>
      <c r="AZ15" s="49">
        <v>0</v>
      </c>
      <c r="BA15" s="50">
        <v>0</v>
      </c>
      <c r="BB15" s="49">
        <v>20</v>
      </c>
      <c r="BC15" s="50">
        <v>37.03703703703704</v>
      </c>
      <c r="BD15" s="49">
        <v>54</v>
      </c>
      <c r="BE15" s="49"/>
      <c r="BF15" s="49"/>
      <c r="BG15" s="49"/>
      <c r="BH15" s="49"/>
      <c r="BI15" s="49"/>
      <c r="BJ15" s="49"/>
      <c r="BK15" s="115" t="s">
        <v>1063</v>
      </c>
      <c r="BL15" s="115" t="s">
        <v>1063</v>
      </c>
      <c r="BM15" s="115" t="s">
        <v>1196</v>
      </c>
      <c r="BN15" s="115" t="s">
        <v>1196</v>
      </c>
      <c r="BO15" s="2"/>
      <c r="BP15" s="3"/>
      <c r="BQ15" s="3"/>
      <c r="BR15" s="3"/>
      <c r="BS15" s="3"/>
    </row>
    <row r="16" spans="1:71" ht="15">
      <c r="A16" s="66" t="s">
        <v>227</v>
      </c>
      <c r="B16" s="67"/>
      <c r="C16" s="67"/>
      <c r="D16" s="68">
        <v>150</v>
      </c>
      <c r="E16" s="70"/>
      <c r="F16" s="103" t="str">
        <f>HYPERLINK("https://yt3.ggpht.com/ytc/AOPolaRDI0naul7WQrLcXaolCW5es0dkBbFQq7RE1VCPRg=s88-c-k-c0x00ffffff-no-rj")</f>
        <v>https://yt3.ggpht.com/ytc/AOPolaRDI0naul7WQrLcXaolCW5es0dkBbFQq7RE1VCPRg=s88-c-k-c0x00ffffff-no-rj</v>
      </c>
      <c r="G16" s="67"/>
      <c r="H16" s="71" t="s">
        <v>554</v>
      </c>
      <c r="I16" s="72"/>
      <c r="J16" s="72" t="s">
        <v>159</v>
      </c>
      <c r="K16" s="71" t="s">
        <v>554</v>
      </c>
      <c r="L16" s="75">
        <v>1</v>
      </c>
      <c r="M16" s="76">
        <v>5432.46728515625</v>
      </c>
      <c r="N16" s="76">
        <v>5916.7685546875</v>
      </c>
      <c r="O16" s="77"/>
      <c r="P16" s="78"/>
      <c r="Q16" s="78"/>
      <c r="R16" s="89"/>
      <c r="S16" s="49">
        <v>0</v>
      </c>
      <c r="T16" s="49">
        <v>1</v>
      </c>
      <c r="U16" s="50">
        <v>0</v>
      </c>
      <c r="V16" s="50">
        <v>0.062532</v>
      </c>
      <c r="W16" s="50">
        <v>0</v>
      </c>
      <c r="X16" s="50">
        <v>0.004832</v>
      </c>
      <c r="Y16" s="50">
        <v>0</v>
      </c>
      <c r="Z16" s="50">
        <v>0</v>
      </c>
      <c r="AA16" s="73">
        <v>16</v>
      </c>
      <c r="AB16" s="73"/>
      <c r="AC16" s="74"/>
      <c r="AD16" s="81" t="s">
        <v>554</v>
      </c>
      <c r="AE16" s="81"/>
      <c r="AF16" s="81"/>
      <c r="AG16" s="81"/>
      <c r="AH16" s="81"/>
      <c r="AI16" s="81" t="s">
        <v>881</v>
      </c>
      <c r="AJ16" s="85">
        <v>41335.941354166665</v>
      </c>
      <c r="AK16" s="83" t="str">
        <f>HYPERLINK("https://yt3.ggpht.com/ytc/AOPolaRDI0naul7WQrLcXaolCW5es0dkBbFQq7RE1VCPRg=s88-c-k-c0x00ffffff-no-rj")</f>
        <v>https://yt3.ggpht.com/ytc/AOPolaRDI0naul7WQrLcXaolCW5es0dkBbFQq7RE1VCPRg=s88-c-k-c0x00ffffff-no-rj</v>
      </c>
      <c r="AL16" s="81">
        <v>17034</v>
      </c>
      <c r="AM16" s="81">
        <v>0</v>
      </c>
      <c r="AN16" s="81">
        <v>103</v>
      </c>
      <c r="AO16" s="81" t="b">
        <v>0</v>
      </c>
      <c r="AP16" s="81">
        <v>12</v>
      </c>
      <c r="AQ16" s="81"/>
      <c r="AR16" s="81"/>
      <c r="AS16" s="81" t="s">
        <v>1057</v>
      </c>
      <c r="AT16" s="83" t="str">
        <f>HYPERLINK("https://www.youtube.com/channel/UCAl9DhRv3T6VbQFhMy4ZfjA")</f>
        <v>https://www.youtube.com/channel/UCAl9DhRv3T6VbQFhMy4ZfjA</v>
      </c>
      <c r="AU16" s="81">
        <v>3</v>
      </c>
      <c r="AV16" s="49">
        <v>0</v>
      </c>
      <c r="AW16" s="50">
        <v>0</v>
      </c>
      <c r="AX16" s="49">
        <v>1</v>
      </c>
      <c r="AY16" s="50">
        <v>3.7037037037037037</v>
      </c>
      <c r="AZ16" s="49">
        <v>0</v>
      </c>
      <c r="BA16" s="50">
        <v>0</v>
      </c>
      <c r="BB16" s="49">
        <v>8</v>
      </c>
      <c r="BC16" s="50">
        <v>29.62962962962963</v>
      </c>
      <c r="BD16" s="49">
        <v>27</v>
      </c>
      <c r="BE16" s="49"/>
      <c r="BF16" s="49"/>
      <c r="BG16" s="49"/>
      <c r="BH16" s="49"/>
      <c r="BI16" s="49"/>
      <c r="BJ16" s="49"/>
      <c r="BK16" s="115" t="s">
        <v>1064</v>
      </c>
      <c r="BL16" s="115" t="s">
        <v>1064</v>
      </c>
      <c r="BM16" s="115" t="s">
        <v>1197</v>
      </c>
      <c r="BN16" s="115" t="s">
        <v>1197</v>
      </c>
      <c r="BO16" s="2"/>
      <c r="BP16" s="3"/>
      <c r="BQ16" s="3"/>
      <c r="BR16" s="3"/>
      <c r="BS16" s="3"/>
    </row>
    <row r="17" spans="1:71" ht="15">
      <c r="A17" s="66" t="s">
        <v>228</v>
      </c>
      <c r="B17" s="67"/>
      <c r="C17" s="67"/>
      <c r="D17" s="68">
        <v>150</v>
      </c>
      <c r="E17" s="70"/>
      <c r="F17" s="103" t="str">
        <f>HYPERLINK("https://yt3.ggpht.com/ytc/AOPolaSHSF2J92U1JPh0xHtafkg8sT-V2o1hDi3Ptl-Xn-oxSPjKHbl76MIKXEg5G1fK=s88-c-k-c0x00ffffff-no-rj")</f>
        <v>https://yt3.ggpht.com/ytc/AOPolaSHSF2J92U1JPh0xHtafkg8sT-V2o1hDi3Ptl-Xn-oxSPjKHbl76MIKXEg5G1fK=s88-c-k-c0x00ffffff-no-rj</v>
      </c>
      <c r="G17" s="67"/>
      <c r="H17" s="71" t="s">
        <v>555</v>
      </c>
      <c r="I17" s="72"/>
      <c r="J17" s="72" t="s">
        <v>159</v>
      </c>
      <c r="K17" s="71" t="s">
        <v>555</v>
      </c>
      <c r="L17" s="75">
        <v>1</v>
      </c>
      <c r="M17" s="76">
        <v>6591.3203125</v>
      </c>
      <c r="N17" s="76">
        <v>6608.53466796875</v>
      </c>
      <c r="O17" s="77"/>
      <c r="P17" s="78"/>
      <c r="Q17" s="78"/>
      <c r="R17" s="89"/>
      <c r="S17" s="49">
        <v>0</v>
      </c>
      <c r="T17" s="49">
        <v>1</v>
      </c>
      <c r="U17" s="50">
        <v>0</v>
      </c>
      <c r="V17" s="50">
        <v>0.062532</v>
      </c>
      <c r="W17" s="50">
        <v>0</v>
      </c>
      <c r="X17" s="50">
        <v>0.004832</v>
      </c>
      <c r="Y17" s="50">
        <v>0</v>
      </c>
      <c r="Z17" s="50">
        <v>0</v>
      </c>
      <c r="AA17" s="73">
        <v>17</v>
      </c>
      <c r="AB17" s="73"/>
      <c r="AC17" s="74"/>
      <c r="AD17" s="81" t="s">
        <v>555</v>
      </c>
      <c r="AE17" s="81"/>
      <c r="AF17" s="81"/>
      <c r="AG17" s="81"/>
      <c r="AH17" s="81"/>
      <c r="AI17" s="81" t="s">
        <v>882</v>
      </c>
      <c r="AJ17" s="85">
        <v>45115.501435185186</v>
      </c>
      <c r="AK17" s="83" t="str">
        <f>HYPERLINK("https://yt3.ggpht.com/ytc/AOPolaSHSF2J92U1JPh0xHtafkg8sT-V2o1hDi3Ptl-Xn-oxSPjKHbl76MIKXEg5G1fK=s88-c-k-c0x00ffffff-no-rj")</f>
        <v>https://yt3.ggpht.com/ytc/AOPolaSHSF2J92U1JPh0xHtafkg8sT-V2o1hDi3Ptl-Xn-oxSPjKHbl76MIKXEg5G1fK=s88-c-k-c0x00ffffff-no-rj</v>
      </c>
      <c r="AL17" s="81">
        <v>0</v>
      </c>
      <c r="AM17" s="81">
        <v>0</v>
      </c>
      <c r="AN17" s="81">
        <v>0</v>
      </c>
      <c r="AO17" s="81" t="b">
        <v>0</v>
      </c>
      <c r="AP17" s="81">
        <v>0</v>
      </c>
      <c r="AQ17" s="81"/>
      <c r="AR17" s="81"/>
      <c r="AS17" s="81" t="s">
        <v>1057</v>
      </c>
      <c r="AT17" s="83" t="str">
        <f>HYPERLINK("https://www.youtube.com/channel/UCqaNnkbltkl2EZ2q-f90l_w")</f>
        <v>https://www.youtube.com/channel/UCqaNnkbltkl2EZ2q-f90l_w</v>
      </c>
      <c r="AU17" s="81">
        <v>3</v>
      </c>
      <c r="AV17" s="49">
        <v>0</v>
      </c>
      <c r="AW17" s="50">
        <v>0</v>
      </c>
      <c r="AX17" s="49">
        <v>1</v>
      </c>
      <c r="AY17" s="50">
        <v>12.5</v>
      </c>
      <c r="AZ17" s="49">
        <v>0</v>
      </c>
      <c r="BA17" s="50">
        <v>0</v>
      </c>
      <c r="BB17" s="49">
        <v>4</v>
      </c>
      <c r="BC17" s="50">
        <v>50</v>
      </c>
      <c r="BD17" s="49">
        <v>8</v>
      </c>
      <c r="BE17" s="49"/>
      <c r="BF17" s="49"/>
      <c r="BG17" s="49"/>
      <c r="BH17" s="49"/>
      <c r="BI17" s="49"/>
      <c r="BJ17" s="49"/>
      <c r="BK17" s="115" t="s">
        <v>1065</v>
      </c>
      <c r="BL17" s="115" t="s">
        <v>1065</v>
      </c>
      <c r="BM17" s="115" t="s">
        <v>1198</v>
      </c>
      <c r="BN17" s="115" t="s">
        <v>1198</v>
      </c>
      <c r="BO17" s="2"/>
      <c r="BP17" s="3"/>
      <c r="BQ17" s="3"/>
      <c r="BR17" s="3"/>
      <c r="BS17" s="3"/>
    </row>
    <row r="18" spans="1:71" ht="15">
      <c r="A18" s="66" t="s">
        <v>229</v>
      </c>
      <c r="B18" s="67"/>
      <c r="C18" s="67"/>
      <c r="D18" s="68">
        <v>150</v>
      </c>
      <c r="E18" s="70"/>
      <c r="F18" s="103" t="str">
        <f>HYPERLINK("https://yt3.ggpht.com/ytc/AOPolaRnSkwE08iqeY7Xl60jpgALFJqD0bbIYoSm9rAJfxmdOziRvGyv1cJbRe85HJdm=s88-c-k-c0x00ffffff-no-rj")</f>
        <v>https://yt3.ggpht.com/ytc/AOPolaRnSkwE08iqeY7Xl60jpgALFJqD0bbIYoSm9rAJfxmdOziRvGyv1cJbRe85HJdm=s88-c-k-c0x00ffffff-no-rj</v>
      </c>
      <c r="G18" s="67"/>
      <c r="H18" s="71" t="s">
        <v>556</v>
      </c>
      <c r="I18" s="72"/>
      <c r="J18" s="72" t="s">
        <v>159</v>
      </c>
      <c r="K18" s="71" t="s">
        <v>556</v>
      </c>
      <c r="L18" s="75">
        <v>1</v>
      </c>
      <c r="M18" s="76">
        <v>7373.2685546875</v>
      </c>
      <c r="N18" s="76">
        <v>6596.7744140625</v>
      </c>
      <c r="O18" s="77"/>
      <c r="P18" s="78"/>
      <c r="Q18" s="78"/>
      <c r="R18" s="89"/>
      <c r="S18" s="49">
        <v>0</v>
      </c>
      <c r="T18" s="49">
        <v>1</v>
      </c>
      <c r="U18" s="50">
        <v>0</v>
      </c>
      <c r="V18" s="50">
        <v>0.062532</v>
      </c>
      <c r="W18" s="50">
        <v>0</v>
      </c>
      <c r="X18" s="50">
        <v>0.004832</v>
      </c>
      <c r="Y18" s="50">
        <v>0</v>
      </c>
      <c r="Z18" s="50">
        <v>0</v>
      </c>
      <c r="AA18" s="73">
        <v>18</v>
      </c>
      <c r="AB18" s="73"/>
      <c r="AC18" s="74"/>
      <c r="AD18" s="81" t="s">
        <v>556</v>
      </c>
      <c r="AE18" s="81"/>
      <c r="AF18" s="81"/>
      <c r="AG18" s="81"/>
      <c r="AH18" s="81"/>
      <c r="AI18" s="81" t="s">
        <v>883</v>
      </c>
      <c r="AJ18" s="85">
        <v>44637.091828703706</v>
      </c>
      <c r="AK18" s="83" t="str">
        <f>HYPERLINK("https://yt3.ggpht.com/ytc/AOPolaRnSkwE08iqeY7Xl60jpgALFJqD0bbIYoSm9rAJfxmdOziRvGyv1cJbRe85HJdm=s88-c-k-c0x00ffffff-no-rj")</f>
        <v>https://yt3.ggpht.com/ytc/AOPolaRnSkwE08iqeY7Xl60jpgALFJqD0bbIYoSm9rAJfxmdOziRvGyv1cJbRe85HJdm=s88-c-k-c0x00ffffff-no-rj</v>
      </c>
      <c r="AL18" s="81">
        <v>0</v>
      </c>
      <c r="AM18" s="81">
        <v>0</v>
      </c>
      <c r="AN18" s="81">
        <v>0</v>
      </c>
      <c r="AO18" s="81" t="b">
        <v>0</v>
      </c>
      <c r="AP18" s="81">
        <v>0</v>
      </c>
      <c r="AQ18" s="81"/>
      <c r="AR18" s="81"/>
      <c r="AS18" s="81" t="s">
        <v>1057</v>
      </c>
      <c r="AT18" s="83" t="str">
        <f>HYPERLINK("https://www.youtube.com/channel/UCe4kPsTw5pTJC4Y1NmnxQRg")</f>
        <v>https://www.youtube.com/channel/UCe4kPsTw5pTJC4Y1NmnxQRg</v>
      </c>
      <c r="AU18" s="81">
        <v>3</v>
      </c>
      <c r="AV18" s="49">
        <v>0</v>
      </c>
      <c r="AW18" s="50">
        <v>0</v>
      </c>
      <c r="AX18" s="49">
        <v>1</v>
      </c>
      <c r="AY18" s="50">
        <v>3.0303030303030303</v>
      </c>
      <c r="AZ18" s="49">
        <v>0</v>
      </c>
      <c r="BA18" s="50">
        <v>0</v>
      </c>
      <c r="BB18" s="49">
        <v>11</v>
      </c>
      <c r="BC18" s="50">
        <v>33.333333333333336</v>
      </c>
      <c r="BD18" s="49">
        <v>33</v>
      </c>
      <c r="BE18" s="49"/>
      <c r="BF18" s="49"/>
      <c r="BG18" s="49"/>
      <c r="BH18" s="49"/>
      <c r="BI18" s="49"/>
      <c r="BJ18" s="49"/>
      <c r="BK18" s="115" t="s">
        <v>1066</v>
      </c>
      <c r="BL18" s="115" t="s">
        <v>1066</v>
      </c>
      <c r="BM18" s="115" t="s">
        <v>1199</v>
      </c>
      <c r="BN18" s="115" t="s">
        <v>1199</v>
      </c>
      <c r="BO18" s="2"/>
      <c r="BP18" s="3"/>
      <c r="BQ18" s="3"/>
      <c r="BR18" s="3"/>
      <c r="BS18" s="3"/>
    </row>
    <row r="19" spans="1:71" ht="15">
      <c r="A19" s="66" t="s">
        <v>230</v>
      </c>
      <c r="B19" s="67"/>
      <c r="C19" s="67"/>
      <c r="D19" s="68">
        <v>150</v>
      </c>
      <c r="E19" s="70"/>
      <c r="F19" s="103" t="str">
        <f>HYPERLINK("https://yt3.ggpht.com/ytc/AOPolaSkJaQQLPsqW0PKTvqmvC_kdU_C_IHeo4FXhuDbwW4cEY9_kIyaFmmVOFh99E_n=s88-c-k-c0x00ffffff-no-rj")</f>
        <v>https://yt3.ggpht.com/ytc/AOPolaSkJaQQLPsqW0PKTvqmvC_kdU_C_IHeo4FXhuDbwW4cEY9_kIyaFmmVOFh99E_n=s88-c-k-c0x00ffffff-no-rj</v>
      </c>
      <c r="G19" s="67"/>
      <c r="H19" s="71" t="s">
        <v>557</v>
      </c>
      <c r="I19" s="72"/>
      <c r="J19" s="72" t="s">
        <v>159</v>
      </c>
      <c r="K19" s="71" t="s">
        <v>557</v>
      </c>
      <c r="L19" s="75">
        <v>1</v>
      </c>
      <c r="M19" s="76">
        <v>8470.4384765625</v>
      </c>
      <c r="N19" s="76">
        <v>5928.7861328125</v>
      </c>
      <c r="O19" s="77"/>
      <c r="P19" s="78"/>
      <c r="Q19" s="78"/>
      <c r="R19" s="89"/>
      <c r="S19" s="49">
        <v>0</v>
      </c>
      <c r="T19" s="49">
        <v>1</v>
      </c>
      <c r="U19" s="50">
        <v>0</v>
      </c>
      <c r="V19" s="50">
        <v>0.062532</v>
      </c>
      <c r="W19" s="50">
        <v>0</v>
      </c>
      <c r="X19" s="50">
        <v>0.004832</v>
      </c>
      <c r="Y19" s="50">
        <v>0</v>
      </c>
      <c r="Z19" s="50">
        <v>0</v>
      </c>
      <c r="AA19" s="73">
        <v>19</v>
      </c>
      <c r="AB19" s="73"/>
      <c r="AC19" s="74"/>
      <c r="AD19" s="81" t="s">
        <v>557</v>
      </c>
      <c r="AE19" s="81"/>
      <c r="AF19" s="81"/>
      <c r="AG19" s="81"/>
      <c r="AH19" s="81"/>
      <c r="AI19" s="81" t="s">
        <v>884</v>
      </c>
      <c r="AJ19" s="85">
        <v>44617.998773148145</v>
      </c>
      <c r="AK19" s="83" t="str">
        <f>HYPERLINK("https://yt3.ggpht.com/ytc/AOPolaSkJaQQLPsqW0PKTvqmvC_kdU_C_IHeo4FXhuDbwW4cEY9_kIyaFmmVOFh99E_n=s88-c-k-c0x00ffffff-no-rj")</f>
        <v>https://yt3.ggpht.com/ytc/AOPolaSkJaQQLPsqW0PKTvqmvC_kdU_C_IHeo4FXhuDbwW4cEY9_kIyaFmmVOFh99E_n=s88-c-k-c0x00ffffff-no-rj</v>
      </c>
      <c r="AL19" s="81">
        <v>0</v>
      </c>
      <c r="AM19" s="81">
        <v>0</v>
      </c>
      <c r="AN19" s="81">
        <v>0</v>
      </c>
      <c r="AO19" s="81" t="b">
        <v>0</v>
      </c>
      <c r="AP19" s="81">
        <v>0</v>
      </c>
      <c r="AQ19" s="81"/>
      <c r="AR19" s="81"/>
      <c r="AS19" s="81" t="s">
        <v>1057</v>
      </c>
      <c r="AT19" s="83" t="str">
        <f>HYPERLINK("https://www.youtube.com/channel/UC0LCq_OqhMElPUSFvxbp_WQ")</f>
        <v>https://www.youtube.com/channel/UC0LCq_OqhMElPUSFvxbp_WQ</v>
      </c>
      <c r="AU19" s="81">
        <v>3</v>
      </c>
      <c r="AV19" s="49">
        <v>1</v>
      </c>
      <c r="AW19" s="50">
        <v>6.666666666666667</v>
      </c>
      <c r="AX19" s="49">
        <v>4</v>
      </c>
      <c r="AY19" s="50">
        <v>26.666666666666668</v>
      </c>
      <c r="AZ19" s="49">
        <v>0</v>
      </c>
      <c r="BA19" s="50">
        <v>0</v>
      </c>
      <c r="BB19" s="49">
        <v>1</v>
      </c>
      <c r="BC19" s="50">
        <v>6.666666666666667</v>
      </c>
      <c r="BD19" s="49">
        <v>15</v>
      </c>
      <c r="BE19" s="49"/>
      <c r="BF19" s="49"/>
      <c r="BG19" s="49"/>
      <c r="BH19" s="49"/>
      <c r="BI19" s="49"/>
      <c r="BJ19" s="49"/>
      <c r="BK19" s="115" t="s">
        <v>1067</v>
      </c>
      <c r="BL19" s="115" t="s">
        <v>1067</v>
      </c>
      <c r="BM19" s="115" t="s">
        <v>1200</v>
      </c>
      <c r="BN19" s="115" t="s">
        <v>1200</v>
      </c>
      <c r="BO19" s="2"/>
      <c r="BP19" s="3"/>
      <c r="BQ19" s="3"/>
      <c r="BR19" s="3"/>
      <c r="BS19" s="3"/>
    </row>
    <row r="20" spans="1:71" ht="15">
      <c r="A20" s="66" t="s">
        <v>231</v>
      </c>
      <c r="B20" s="67"/>
      <c r="C20" s="67"/>
      <c r="D20" s="68">
        <v>150</v>
      </c>
      <c r="E20" s="70"/>
      <c r="F20" s="103" t="str">
        <f>HYPERLINK("https://yt3.ggpht.com/ytc/AOPolaTqoEC8O3K-bllGtEeDOTch1d_5vX_wY2IYNQ=s88-c-k-c0x00ffffff-no-rj")</f>
        <v>https://yt3.ggpht.com/ytc/AOPolaTqoEC8O3K-bllGtEeDOTch1d_5vX_wY2IYNQ=s88-c-k-c0x00ffffff-no-rj</v>
      </c>
      <c r="G20" s="67"/>
      <c r="H20" s="71" t="s">
        <v>558</v>
      </c>
      <c r="I20" s="72"/>
      <c r="J20" s="72" t="s">
        <v>159</v>
      </c>
      <c r="K20" s="71" t="s">
        <v>558</v>
      </c>
      <c r="L20" s="75">
        <v>1</v>
      </c>
      <c r="M20" s="76">
        <v>5874.0224609375</v>
      </c>
      <c r="N20" s="76">
        <v>3682.970947265625</v>
      </c>
      <c r="O20" s="77"/>
      <c r="P20" s="78"/>
      <c r="Q20" s="78"/>
      <c r="R20" s="89"/>
      <c r="S20" s="49">
        <v>0</v>
      </c>
      <c r="T20" s="49">
        <v>1</v>
      </c>
      <c r="U20" s="50">
        <v>0</v>
      </c>
      <c r="V20" s="50">
        <v>0.062532</v>
      </c>
      <c r="W20" s="50">
        <v>0</v>
      </c>
      <c r="X20" s="50">
        <v>0.004832</v>
      </c>
      <c r="Y20" s="50">
        <v>0</v>
      </c>
      <c r="Z20" s="50">
        <v>0</v>
      </c>
      <c r="AA20" s="73">
        <v>20</v>
      </c>
      <c r="AB20" s="73"/>
      <c r="AC20" s="74"/>
      <c r="AD20" s="81" t="s">
        <v>558</v>
      </c>
      <c r="AE20" s="81"/>
      <c r="AF20" s="81"/>
      <c r="AG20" s="81"/>
      <c r="AH20" s="81"/>
      <c r="AI20" s="81" t="s">
        <v>885</v>
      </c>
      <c r="AJ20" s="85">
        <v>42557.23059027778</v>
      </c>
      <c r="AK20" s="83" t="str">
        <f>HYPERLINK("https://yt3.ggpht.com/ytc/AOPolaTqoEC8O3K-bllGtEeDOTch1d_5vX_wY2IYNQ=s88-c-k-c0x00ffffff-no-rj")</f>
        <v>https://yt3.ggpht.com/ytc/AOPolaTqoEC8O3K-bllGtEeDOTch1d_5vX_wY2IYNQ=s88-c-k-c0x00ffffff-no-rj</v>
      </c>
      <c r="AL20" s="81">
        <v>0</v>
      </c>
      <c r="AM20" s="81">
        <v>0</v>
      </c>
      <c r="AN20" s="81">
        <v>0</v>
      </c>
      <c r="AO20" s="81" t="b">
        <v>0</v>
      </c>
      <c r="AP20" s="81">
        <v>0</v>
      </c>
      <c r="AQ20" s="81"/>
      <c r="AR20" s="81"/>
      <c r="AS20" s="81" t="s">
        <v>1057</v>
      </c>
      <c r="AT20" s="83" t="str">
        <f>HYPERLINK("https://www.youtube.com/channel/UCgFqD3On_ANmpXNY5EOG2HA")</f>
        <v>https://www.youtube.com/channel/UCgFqD3On_ANmpXNY5EOG2HA</v>
      </c>
      <c r="AU20" s="81">
        <v>3</v>
      </c>
      <c r="AV20" s="49">
        <v>0</v>
      </c>
      <c r="AW20" s="50">
        <v>0</v>
      </c>
      <c r="AX20" s="49">
        <v>0</v>
      </c>
      <c r="AY20" s="50">
        <v>0</v>
      </c>
      <c r="AZ20" s="49">
        <v>0</v>
      </c>
      <c r="BA20" s="50">
        <v>0</v>
      </c>
      <c r="BB20" s="49">
        <v>0</v>
      </c>
      <c r="BC20" s="50">
        <v>0</v>
      </c>
      <c r="BD20" s="49">
        <v>3</v>
      </c>
      <c r="BE20" s="49"/>
      <c r="BF20" s="49"/>
      <c r="BG20" s="49"/>
      <c r="BH20" s="49"/>
      <c r="BI20" s="49"/>
      <c r="BJ20" s="49"/>
      <c r="BK20" s="115" t="s">
        <v>1634</v>
      </c>
      <c r="BL20" s="115" t="s">
        <v>1634</v>
      </c>
      <c r="BM20" s="115" t="s">
        <v>1634</v>
      </c>
      <c r="BN20" s="115" t="s">
        <v>1634</v>
      </c>
      <c r="BO20" s="2"/>
      <c r="BP20" s="3"/>
      <c r="BQ20" s="3"/>
      <c r="BR20" s="3"/>
      <c r="BS20" s="3"/>
    </row>
    <row r="21" spans="1:71" ht="15">
      <c r="A21" s="66" t="s">
        <v>232</v>
      </c>
      <c r="B21" s="67"/>
      <c r="C21" s="67"/>
      <c r="D21" s="68">
        <v>150</v>
      </c>
      <c r="E21" s="70"/>
      <c r="F21" s="103" t="str">
        <f>HYPERLINK("https://yt3.ggpht.com/ytc/AOPolaSm93_1qHsaW4nshE3P2p-C3xzjfQbOyvgmFaCgkX6FETtH-a6uGBNO0JbOIAhV=s88-c-k-c0x00ffffff-no-rj")</f>
        <v>https://yt3.ggpht.com/ytc/AOPolaSm93_1qHsaW4nshE3P2p-C3xzjfQbOyvgmFaCgkX6FETtH-a6uGBNO0JbOIAhV=s88-c-k-c0x00ffffff-no-rj</v>
      </c>
      <c r="G21" s="67"/>
      <c r="H21" s="71" t="s">
        <v>559</v>
      </c>
      <c r="I21" s="72"/>
      <c r="J21" s="72" t="s">
        <v>159</v>
      </c>
      <c r="K21" s="71" t="s">
        <v>559</v>
      </c>
      <c r="L21" s="75">
        <v>1</v>
      </c>
      <c r="M21" s="76">
        <v>5190.5634765625</v>
      </c>
      <c r="N21" s="76">
        <v>5321.72216796875</v>
      </c>
      <c r="O21" s="77"/>
      <c r="P21" s="78"/>
      <c r="Q21" s="78"/>
      <c r="R21" s="89"/>
      <c r="S21" s="49">
        <v>0</v>
      </c>
      <c r="T21" s="49">
        <v>1</v>
      </c>
      <c r="U21" s="50">
        <v>0</v>
      </c>
      <c r="V21" s="50">
        <v>0.062532</v>
      </c>
      <c r="W21" s="50">
        <v>0</v>
      </c>
      <c r="X21" s="50">
        <v>0.004832</v>
      </c>
      <c r="Y21" s="50">
        <v>0</v>
      </c>
      <c r="Z21" s="50">
        <v>0</v>
      </c>
      <c r="AA21" s="73">
        <v>21</v>
      </c>
      <c r="AB21" s="73"/>
      <c r="AC21" s="74"/>
      <c r="AD21" s="81" t="s">
        <v>559</v>
      </c>
      <c r="AE21" s="81"/>
      <c r="AF21" s="81"/>
      <c r="AG21" s="81"/>
      <c r="AH21" s="81"/>
      <c r="AI21" s="81" t="s">
        <v>886</v>
      </c>
      <c r="AJ21" s="85">
        <v>44668.97719907408</v>
      </c>
      <c r="AK21" s="83" t="str">
        <f>HYPERLINK("https://yt3.ggpht.com/ytc/AOPolaSm93_1qHsaW4nshE3P2p-C3xzjfQbOyvgmFaCgkX6FETtH-a6uGBNO0JbOIAhV=s88-c-k-c0x00ffffff-no-rj")</f>
        <v>https://yt3.ggpht.com/ytc/AOPolaSm93_1qHsaW4nshE3P2p-C3xzjfQbOyvgmFaCgkX6FETtH-a6uGBNO0JbOIAhV=s88-c-k-c0x00ffffff-no-rj</v>
      </c>
      <c r="AL21" s="81">
        <v>0</v>
      </c>
      <c r="AM21" s="81">
        <v>0</v>
      </c>
      <c r="AN21" s="81">
        <v>0</v>
      </c>
      <c r="AO21" s="81" t="b">
        <v>0</v>
      </c>
      <c r="AP21" s="81">
        <v>0</v>
      </c>
      <c r="AQ21" s="81"/>
      <c r="AR21" s="81"/>
      <c r="AS21" s="81" t="s">
        <v>1057</v>
      </c>
      <c r="AT21" s="83" t="str">
        <f>HYPERLINK("https://www.youtube.com/channel/UCOpDvOhCc0NB81DNvZeVQNg")</f>
        <v>https://www.youtube.com/channel/UCOpDvOhCc0NB81DNvZeVQNg</v>
      </c>
      <c r="AU21" s="81">
        <v>3</v>
      </c>
      <c r="AV21" s="49">
        <v>0</v>
      </c>
      <c r="AW21" s="50">
        <v>0</v>
      </c>
      <c r="AX21" s="49">
        <v>1</v>
      </c>
      <c r="AY21" s="50">
        <v>12.5</v>
      </c>
      <c r="AZ21" s="49">
        <v>0</v>
      </c>
      <c r="BA21" s="50">
        <v>0</v>
      </c>
      <c r="BB21" s="49">
        <v>0</v>
      </c>
      <c r="BC21" s="50">
        <v>0</v>
      </c>
      <c r="BD21" s="49">
        <v>8</v>
      </c>
      <c r="BE21" s="49"/>
      <c r="BF21" s="49"/>
      <c r="BG21" s="49"/>
      <c r="BH21" s="49"/>
      <c r="BI21" s="49"/>
      <c r="BJ21" s="49"/>
      <c r="BK21" s="115" t="s">
        <v>1068</v>
      </c>
      <c r="BL21" s="115" t="s">
        <v>1068</v>
      </c>
      <c r="BM21" s="115" t="s">
        <v>1634</v>
      </c>
      <c r="BN21" s="115" t="s">
        <v>1634</v>
      </c>
      <c r="BO21" s="2"/>
      <c r="BP21" s="3"/>
      <c r="BQ21" s="3"/>
      <c r="BR21" s="3"/>
      <c r="BS21" s="3"/>
    </row>
    <row r="22" spans="1:71" ht="15">
      <c r="A22" s="66" t="s">
        <v>233</v>
      </c>
      <c r="B22" s="67"/>
      <c r="C22" s="67"/>
      <c r="D22" s="68">
        <v>150</v>
      </c>
      <c r="E22" s="70"/>
      <c r="F22" s="103" t="str">
        <f>HYPERLINK("https://yt3.ggpht.com/Ot97e33iCmBw5FpCU59OHpuOcn-nsXrBQBsSJ50QQ55UIlFs-SL2-QM1XzvnBW4dhsHkTQc8bg=s88-c-k-c0x00ffffff-no-rj")</f>
        <v>https://yt3.ggpht.com/Ot97e33iCmBw5FpCU59OHpuOcn-nsXrBQBsSJ50QQ55UIlFs-SL2-QM1XzvnBW4dhsHkTQc8bg=s88-c-k-c0x00ffffff-no-rj</v>
      </c>
      <c r="G22" s="67"/>
      <c r="H22" s="71" t="s">
        <v>560</v>
      </c>
      <c r="I22" s="72"/>
      <c r="J22" s="72" t="s">
        <v>159</v>
      </c>
      <c r="K22" s="71" t="s">
        <v>560</v>
      </c>
      <c r="L22" s="75">
        <v>1</v>
      </c>
      <c r="M22" s="76">
        <v>6163.66015625</v>
      </c>
      <c r="N22" s="76">
        <v>4526.20556640625</v>
      </c>
      <c r="O22" s="77"/>
      <c r="P22" s="78"/>
      <c r="Q22" s="78"/>
      <c r="R22" s="89"/>
      <c r="S22" s="49">
        <v>0</v>
      </c>
      <c r="T22" s="49">
        <v>1</v>
      </c>
      <c r="U22" s="50">
        <v>0</v>
      </c>
      <c r="V22" s="50">
        <v>0.062532</v>
      </c>
      <c r="W22" s="50">
        <v>0</v>
      </c>
      <c r="X22" s="50">
        <v>0.004832</v>
      </c>
      <c r="Y22" s="50">
        <v>0</v>
      </c>
      <c r="Z22" s="50">
        <v>0</v>
      </c>
      <c r="AA22" s="73">
        <v>22</v>
      </c>
      <c r="AB22" s="73"/>
      <c r="AC22" s="74"/>
      <c r="AD22" s="81" t="s">
        <v>560</v>
      </c>
      <c r="AE22" s="81" t="s">
        <v>807</v>
      </c>
      <c r="AF22" s="81"/>
      <c r="AG22" s="81"/>
      <c r="AH22" s="81"/>
      <c r="AI22" s="81" t="s">
        <v>887</v>
      </c>
      <c r="AJ22" s="85">
        <v>43502.13793981481</v>
      </c>
      <c r="AK22" s="83" t="str">
        <f>HYPERLINK("https://yt3.ggpht.com/Ot97e33iCmBw5FpCU59OHpuOcn-nsXrBQBsSJ50QQ55UIlFs-SL2-QM1XzvnBW4dhsHkTQc8bg=s88-c-k-c0x00ffffff-no-rj")</f>
        <v>https://yt3.ggpht.com/Ot97e33iCmBw5FpCU59OHpuOcn-nsXrBQBsSJ50QQ55UIlFs-SL2-QM1XzvnBW4dhsHkTQc8bg=s88-c-k-c0x00ffffff-no-rj</v>
      </c>
      <c r="AL22" s="81">
        <v>14</v>
      </c>
      <c r="AM22" s="81">
        <v>0</v>
      </c>
      <c r="AN22" s="81">
        <v>0</v>
      </c>
      <c r="AO22" s="81" t="b">
        <v>0</v>
      </c>
      <c r="AP22" s="81">
        <v>2</v>
      </c>
      <c r="AQ22" s="81"/>
      <c r="AR22" s="81"/>
      <c r="AS22" s="81" t="s">
        <v>1057</v>
      </c>
      <c r="AT22" s="83" t="str">
        <f>HYPERLINK("https://www.youtube.com/channel/UCwrvFEDIvasD8EesYt-_VlA")</f>
        <v>https://www.youtube.com/channel/UCwrvFEDIvasD8EesYt-_VlA</v>
      </c>
      <c r="AU22" s="81">
        <v>3</v>
      </c>
      <c r="AV22" s="49">
        <v>0</v>
      </c>
      <c r="AW22" s="50">
        <v>0</v>
      </c>
      <c r="AX22" s="49">
        <v>0</v>
      </c>
      <c r="AY22" s="50">
        <v>0</v>
      </c>
      <c r="AZ22" s="49">
        <v>0</v>
      </c>
      <c r="BA22" s="50">
        <v>0</v>
      </c>
      <c r="BB22" s="49">
        <v>2</v>
      </c>
      <c r="BC22" s="50">
        <v>25</v>
      </c>
      <c r="BD22" s="49">
        <v>8</v>
      </c>
      <c r="BE22" s="49"/>
      <c r="BF22" s="49"/>
      <c r="BG22" s="49"/>
      <c r="BH22" s="49"/>
      <c r="BI22" s="49"/>
      <c r="BJ22" s="49"/>
      <c r="BK22" s="115" t="s">
        <v>1069</v>
      </c>
      <c r="BL22" s="115" t="s">
        <v>1069</v>
      </c>
      <c r="BM22" s="115" t="s">
        <v>1201</v>
      </c>
      <c r="BN22" s="115" t="s">
        <v>1201</v>
      </c>
      <c r="BO22" s="2"/>
      <c r="BP22" s="3"/>
      <c r="BQ22" s="3"/>
      <c r="BR22" s="3"/>
      <c r="BS22" s="3"/>
    </row>
    <row r="23" spans="1:71" ht="15">
      <c r="A23" s="66" t="s">
        <v>234</v>
      </c>
      <c r="B23" s="67"/>
      <c r="C23" s="67"/>
      <c r="D23" s="68">
        <v>150</v>
      </c>
      <c r="E23" s="70"/>
      <c r="F23" s="103" t="str">
        <f>HYPERLINK("https://yt3.ggpht.com/UdcTJJpD4JRzf1ntIOqeXIsnTwhpyOIGvRAOVoidCG5uR6jT6yHXumyKeC4aRZT3D10GM6iy=s88-c-k-c0x00ffffff-no-rj")</f>
        <v>https://yt3.ggpht.com/UdcTJJpD4JRzf1ntIOqeXIsnTwhpyOIGvRAOVoidCG5uR6jT6yHXumyKeC4aRZT3D10GM6iy=s88-c-k-c0x00ffffff-no-rj</v>
      </c>
      <c r="G23" s="67"/>
      <c r="H23" s="71" t="s">
        <v>561</v>
      </c>
      <c r="I23" s="72"/>
      <c r="J23" s="72" t="s">
        <v>159</v>
      </c>
      <c r="K23" s="71" t="s">
        <v>561</v>
      </c>
      <c r="L23" s="75">
        <v>1</v>
      </c>
      <c r="M23" s="76">
        <v>5211.7568359375</v>
      </c>
      <c r="N23" s="76">
        <v>4755.59912109375</v>
      </c>
      <c r="O23" s="77"/>
      <c r="P23" s="78"/>
      <c r="Q23" s="78"/>
      <c r="R23" s="89"/>
      <c r="S23" s="49">
        <v>0</v>
      </c>
      <c r="T23" s="49">
        <v>1</v>
      </c>
      <c r="U23" s="50">
        <v>0</v>
      </c>
      <c r="V23" s="50">
        <v>0.062532</v>
      </c>
      <c r="W23" s="50">
        <v>0</v>
      </c>
      <c r="X23" s="50">
        <v>0.004832</v>
      </c>
      <c r="Y23" s="50">
        <v>0</v>
      </c>
      <c r="Z23" s="50">
        <v>0</v>
      </c>
      <c r="AA23" s="73">
        <v>23</v>
      </c>
      <c r="AB23" s="73"/>
      <c r="AC23" s="74"/>
      <c r="AD23" s="81" t="s">
        <v>561</v>
      </c>
      <c r="AE23" s="81"/>
      <c r="AF23" s="81"/>
      <c r="AG23" s="81"/>
      <c r="AH23" s="81"/>
      <c r="AI23" s="81" t="s">
        <v>888</v>
      </c>
      <c r="AJ23" s="85">
        <v>42039.803136574075</v>
      </c>
      <c r="AK23" s="83" t="str">
        <f>HYPERLINK("https://yt3.ggpht.com/UdcTJJpD4JRzf1ntIOqeXIsnTwhpyOIGvRAOVoidCG5uR6jT6yHXumyKeC4aRZT3D10GM6iy=s88-c-k-c0x00ffffff-no-rj")</f>
        <v>https://yt3.ggpht.com/UdcTJJpD4JRzf1ntIOqeXIsnTwhpyOIGvRAOVoidCG5uR6jT6yHXumyKeC4aRZT3D10GM6iy=s88-c-k-c0x00ffffff-no-rj</v>
      </c>
      <c r="AL23" s="81">
        <v>0</v>
      </c>
      <c r="AM23" s="81">
        <v>0</v>
      </c>
      <c r="AN23" s="81">
        <v>0</v>
      </c>
      <c r="AO23" s="81" t="b">
        <v>0</v>
      </c>
      <c r="AP23" s="81">
        <v>0</v>
      </c>
      <c r="AQ23" s="81"/>
      <c r="AR23" s="81"/>
      <c r="AS23" s="81" t="s">
        <v>1057</v>
      </c>
      <c r="AT23" s="83" t="str">
        <f>HYPERLINK("https://www.youtube.com/channel/UC4JGtkkIk0ZUCg_EDa_A5og")</f>
        <v>https://www.youtube.com/channel/UC4JGtkkIk0ZUCg_EDa_A5og</v>
      </c>
      <c r="AU23" s="81">
        <v>3</v>
      </c>
      <c r="AV23" s="49">
        <v>0</v>
      </c>
      <c r="AW23" s="50">
        <v>0</v>
      </c>
      <c r="AX23" s="49">
        <v>1</v>
      </c>
      <c r="AY23" s="50">
        <v>7.142857142857143</v>
      </c>
      <c r="AZ23" s="49">
        <v>0</v>
      </c>
      <c r="BA23" s="50">
        <v>0</v>
      </c>
      <c r="BB23" s="49">
        <v>7</v>
      </c>
      <c r="BC23" s="50">
        <v>50</v>
      </c>
      <c r="BD23" s="49">
        <v>14</v>
      </c>
      <c r="BE23" s="49"/>
      <c r="BF23" s="49"/>
      <c r="BG23" s="49"/>
      <c r="BH23" s="49"/>
      <c r="BI23" s="49"/>
      <c r="BJ23" s="49"/>
      <c r="BK23" s="115" t="s">
        <v>1070</v>
      </c>
      <c r="BL23" s="115" t="s">
        <v>1070</v>
      </c>
      <c r="BM23" s="115" t="s">
        <v>1202</v>
      </c>
      <c r="BN23" s="115" t="s">
        <v>1202</v>
      </c>
      <c r="BO23" s="2"/>
      <c r="BP23" s="3"/>
      <c r="BQ23" s="3"/>
      <c r="BR23" s="3"/>
      <c r="BS23" s="3"/>
    </row>
    <row r="24" spans="1:71" ht="15">
      <c r="A24" s="66" t="s">
        <v>235</v>
      </c>
      <c r="B24" s="67"/>
      <c r="C24" s="67"/>
      <c r="D24" s="68">
        <v>150</v>
      </c>
      <c r="E24" s="70"/>
      <c r="F24" s="103" t="str">
        <f>HYPERLINK("https://yt3.ggpht.com/ytc/AOPolaSOhHCLlDGFUBOpqGP2-695NdF3Mgw0b_9jp2_f6TzlJUZYvjLWEqsT1_pZCL7b=s88-c-k-c0x00ffffff-no-rj")</f>
        <v>https://yt3.ggpht.com/ytc/AOPolaSOhHCLlDGFUBOpqGP2-695NdF3Mgw0b_9jp2_f6TzlJUZYvjLWEqsT1_pZCL7b=s88-c-k-c0x00ffffff-no-rj</v>
      </c>
      <c r="G24" s="67"/>
      <c r="H24" s="71" t="s">
        <v>562</v>
      </c>
      <c r="I24" s="72"/>
      <c r="J24" s="72" t="s">
        <v>159</v>
      </c>
      <c r="K24" s="71" t="s">
        <v>562</v>
      </c>
      <c r="L24" s="75">
        <v>1</v>
      </c>
      <c r="M24" s="76">
        <v>6963.0361328125</v>
      </c>
      <c r="N24" s="76">
        <v>3390.465576171875</v>
      </c>
      <c r="O24" s="77"/>
      <c r="P24" s="78"/>
      <c r="Q24" s="78"/>
      <c r="R24" s="89"/>
      <c r="S24" s="49">
        <v>0</v>
      </c>
      <c r="T24" s="49">
        <v>1</v>
      </c>
      <c r="U24" s="50">
        <v>0</v>
      </c>
      <c r="V24" s="50">
        <v>0.062532</v>
      </c>
      <c r="W24" s="50">
        <v>0</v>
      </c>
      <c r="X24" s="50">
        <v>0.004832</v>
      </c>
      <c r="Y24" s="50">
        <v>0</v>
      </c>
      <c r="Z24" s="50">
        <v>0</v>
      </c>
      <c r="AA24" s="73">
        <v>24</v>
      </c>
      <c r="AB24" s="73"/>
      <c r="AC24" s="74"/>
      <c r="AD24" s="81" t="s">
        <v>562</v>
      </c>
      <c r="AE24" s="81"/>
      <c r="AF24" s="81"/>
      <c r="AG24" s="81"/>
      <c r="AH24" s="81"/>
      <c r="AI24" s="81" t="s">
        <v>889</v>
      </c>
      <c r="AJ24" s="85">
        <v>44598.13601851852</v>
      </c>
      <c r="AK24" s="83" t="str">
        <f>HYPERLINK("https://yt3.ggpht.com/ytc/AOPolaSOhHCLlDGFUBOpqGP2-695NdF3Mgw0b_9jp2_f6TzlJUZYvjLWEqsT1_pZCL7b=s88-c-k-c0x00ffffff-no-rj")</f>
        <v>https://yt3.ggpht.com/ytc/AOPolaSOhHCLlDGFUBOpqGP2-695NdF3Mgw0b_9jp2_f6TzlJUZYvjLWEqsT1_pZCL7b=s88-c-k-c0x00ffffff-no-rj</v>
      </c>
      <c r="AL24" s="81">
        <v>1</v>
      </c>
      <c r="AM24" s="81">
        <v>0</v>
      </c>
      <c r="AN24" s="81">
        <v>1</v>
      </c>
      <c r="AO24" s="81" t="b">
        <v>0</v>
      </c>
      <c r="AP24" s="81">
        <v>0</v>
      </c>
      <c r="AQ24" s="81"/>
      <c r="AR24" s="81"/>
      <c r="AS24" s="81" t="s">
        <v>1057</v>
      </c>
      <c r="AT24" s="83" t="str">
        <f>HYPERLINK("https://www.youtube.com/channel/UCQuMHlEhwyQy55RLe_ZX2ww")</f>
        <v>https://www.youtube.com/channel/UCQuMHlEhwyQy55RLe_ZX2ww</v>
      </c>
      <c r="AU24" s="81">
        <v>3</v>
      </c>
      <c r="AV24" s="49">
        <v>1</v>
      </c>
      <c r="AW24" s="50">
        <v>7.6923076923076925</v>
      </c>
      <c r="AX24" s="49">
        <v>0</v>
      </c>
      <c r="AY24" s="50">
        <v>0</v>
      </c>
      <c r="AZ24" s="49">
        <v>0</v>
      </c>
      <c r="BA24" s="50">
        <v>0</v>
      </c>
      <c r="BB24" s="49">
        <v>4</v>
      </c>
      <c r="BC24" s="50">
        <v>30.76923076923077</v>
      </c>
      <c r="BD24" s="49">
        <v>13</v>
      </c>
      <c r="BE24" s="49"/>
      <c r="BF24" s="49"/>
      <c r="BG24" s="49"/>
      <c r="BH24" s="49"/>
      <c r="BI24" s="49"/>
      <c r="BJ24" s="49"/>
      <c r="BK24" s="115" t="s">
        <v>1071</v>
      </c>
      <c r="BL24" s="115" t="s">
        <v>1071</v>
      </c>
      <c r="BM24" s="115" t="s">
        <v>1203</v>
      </c>
      <c r="BN24" s="115" t="s">
        <v>1203</v>
      </c>
      <c r="BO24" s="2"/>
      <c r="BP24" s="3"/>
      <c r="BQ24" s="3"/>
      <c r="BR24" s="3"/>
      <c r="BS24" s="3"/>
    </row>
    <row r="25" spans="1:71" ht="15">
      <c r="A25" s="66" t="s">
        <v>236</v>
      </c>
      <c r="B25" s="67"/>
      <c r="C25" s="67"/>
      <c r="D25" s="68">
        <v>150</v>
      </c>
      <c r="E25" s="70"/>
      <c r="F25" s="103" t="str">
        <f>HYPERLINK("https://yt3.ggpht.com/ytc/AOPolaSmP4pcBmZY6pRSgTJnpCNExsLWrYaQ80vU=s88-c-k-c0x00ffffff-no-rj")</f>
        <v>https://yt3.ggpht.com/ytc/AOPolaSmP4pcBmZY6pRSgTJnpCNExsLWrYaQ80vU=s88-c-k-c0x00ffffff-no-rj</v>
      </c>
      <c r="G25" s="67"/>
      <c r="H25" s="71" t="s">
        <v>563</v>
      </c>
      <c r="I25" s="72"/>
      <c r="J25" s="72" t="s">
        <v>159</v>
      </c>
      <c r="K25" s="71" t="s">
        <v>563</v>
      </c>
      <c r="L25" s="75">
        <v>1</v>
      </c>
      <c r="M25" s="76">
        <v>8581.5849609375</v>
      </c>
      <c r="N25" s="76">
        <v>4296.89697265625</v>
      </c>
      <c r="O25" s="77"/>
      <c r="P25" s="78"/>
      <c r="Q25" s="78"/>
      <c r="R25" s="89"/>
      <c r="S25" s="49">
        <v>0</v>
      </c>
      <c r="T25" s="49">
        <v>1</v>
      </c>
      <c r="U25" s="50">
        <v>0</v>
      </c>
      <c r="V25" s="50">
        <v>0.062532</v>
      </c>
      <c r="W25" s="50">
        <v>0</v>
      </c>
      <c r="X25" s="50">
        <v>0.004832</v>
      </c>
      <c r="Y25" s="50">
        <v>0</v>
      </c>
      <c r="Z25" s="50">
        <v>0</v>
      </c>
      <c r="AA25" s="73">
        <v>25</v>
      </c>
      <c r="AB25" s="73"/>
      <c r="AC25" s="74"/>
      <c r="AD25" s="81" t="s">
        <v>563</v>
      </c>
      <c r="AE25" s="81"/>
      <c r="AF25" s="81"/>
      <c r="AG25" s="81"/>
      <c r="AH25" s="81"/>
      <c r="AI25" s="81" t="s">
        <v>890</v>
      </c>
      <c r="AJ25" s="85">
        <v>40997.993368055555</v>
      </c>
      <c r="AK25" s="83" t="str">
        <f>HYPERLINK("https://yt3.ggpht.com/ytc/AOPolaSmP4pcBmZY6pRSgTJnpCNExsLWrYaQ80vU=s88-c-k-c0x00ffffff-no-rj")</f>
        <v>https://yt3.ggpht.com/ytc/AOPolaSmP4pcBmZY6pRSgTJnpCNExsLWrYaQ80vU=s88-c-k-c0x00ffffff-no-rj</v>
      </c>
      <c r="AL25" s="81">
        <v>0</v>
      </c>
      <c r="AM25" s="81">
        <v>0</v>
      </c>
      <c r="AN25" s="81">
        <v>4</v>
      </c>
      <c r="AO25" s="81" t="b">
        <v>0</v>
      </c>
      <c r="AP25" s="81">
        <v>0</v>
      </c>
      <c r="AQ25" s="81"/>
      <c r="AR25" s="81"/>
      <c r="AS25" s="81" t="s">
        <v>1057</v>
      </c>
      <c r="AT25" s="83" t="str">
        <f>HYPERLINK("https://www.youtube.com/channel/UCJXrvYl_yi07f2WQ4bBi61A")</f>
        <v>https://www.youtube.com/channel/UCJXrvYl_yi07f2WQ4bBi61A</v>
      </c>
      <c r="AU25" s="81">
        <v>3</v>
      </c>
      <c r="AV25" s="49">
        <v>0</v>
      </c>
      <c r="AW25" s="50">
        <v>0</v>
      </c>
      <c r="AX25" s="49">
        <v>1</v>
      </c>
      <c r="AY25" s="50">
        <v>4.761904761904762</v>
      </c>
      <c r="AZ25" s="49">
        <v>0</v>
      </c>
      <c r="BA25" s="50">
        <v>0</v>
      </c>
      <c r="BB25" s="49">
        <v>8</v>
      </c>
      <c r="BC25" s="50">
        <v>38.095238095238095</v>
      </c>
      <c r="BD25" s="49">
        <v>21</v>
      </c>
      <c r="BE25" s="49"/>
      <c r="BF25" s="49"/>
      <c r="BG25" s="49"/>
      <c r="BH25" s="49"/>
      <c r="BI25" s="49"/>
      <c r="BJ25" s="49"/>
      <c r="BK25" s="115" t="s">
        <v>1678</v>
      </c>
      <c r="BL25" s="115" t="s">
        <v>1678</v>
      </c>
      <c r="BM25" s="115" t="s">
        <v>1684</v>
      </c>
      <c r="BN25" s="115" t="s">
        <v>1684</v>
      </c>
      <c r="BO25" s="2"/>
      <c r="BP25" s="3"/>
      <c r="BQ25" s="3"/>
      <c r="BR25" s="3"/>
      <c r="BS25" s="3"/>
    </row>
    <row r="26" spans="1:71" ht="15">
      <c r="A26" s="66" t="s">
        <v>237</v>
      </c>
      <c r="B26" s="67"/>
      <c r="C26" s="67"/>
      <c r="D26" s="68">
        <v>150</v>
      </c>
      <c r="E26" s="70"/>
      <c r="F26" s="103" t="str">
        <f>HYPERLINK("https://yt3.ggpht.com/ytc/AOPolaS04vM23hDQIy8TXJZfG0S_xp5QX287dZ1JIYJx=s88-c-k-c0x00ffffff-no-rj")</f>
        <v>https://yt3.ggpht.com/ytc/AOPolaS04vM23hDQIy8TXJZfG0S_xp5QX287dZ1JIYJx=s88-c-k-c0x00ffffff-no-rj</v>
      </c>
      <c r="G26" s="67"/>
      <c r="H26" s="71" t="s">
        <v>564</v>
      </c>
      <c r="I26" s="72"/>
      <c r="J26" s="72" t="s">
        <v>159</v>
      </c>
      <c r="K26" s="71" t="s">
        <v>564</v>
      </c>
      <c r="L26" s="75">
        <v>1</v>
      </c>
      <c r="M26" s="76">
        <v>6092.7080078125</v>
      </c>
      <c r="N26" s="76">
        <v>5498.4677734375</v>
      </c>
      <c r="O26" s="77"/>
      <c r="P26" s="78"/>
      <c r="Q26" s="78"/>
      <c r="R26" s="89"/>
      <c r="S26" s="49">
        <v>0</v>
      </c>
      <c r="T26" s="49">
        <v>1</v>
      </c>
      <c r="U26" s="50">
        <v>0</v>
      </c>
      <c r="V26" s="50">
        <v>0.062532</v>
      </c>
      <c r="W26" s="50">
        <v>0</v>
      </c>
      <c r="X26" s="50">
        <v>0.004832</v>
      </c>
      <c r="Y26" s="50">
        <v>0</v>
      </c>
      <c r="Z26" s="50">
        <v>0</v>
      </c>
      <c r="AA26" s="73">
        <v>26</v>
      </c>
      <c r="AB26" s="73"/>
      <c r="AC26" s="74"/>
      <c r="AD26" s="81" t="s">
        <v>564</v>
      </c>
      <c r="AE26" s="81"/>
      <c r="AF26" s="81"/>
      <c r="AG26" s="81"/>
      <c r="AH26" s="81"/>
      <c r="AI26" s="81" t="s">
        <v>891</v>
      </c>
      <c r="AJ26" s="85">
        <v>41696.73578703704</v>
      </c>
      <c r="AK26" s="83" t="str">
        <f>HYPERLINK("https://yt3.ggpht.com/ytc/AOPolaS04vM23hDQIy8TXJZfG0S_xp5QX287dZ1JIYJx=s88-c-k-c0x00ffffff-no-rj")</f>
        <v>https://yt3.ggpht.com/ytc/AOPolaS04vM23hDQIy8TXJZfG0S_xp5QX287dZ1JIYJx=s88-c-k-c0x00ffffff-no-rj</v>
      </c>
      <c r="AL26" s="81">
        <v>0</v>
      </c>
      <c r="AM26" s="81">
        <v>0</v>
      </c>
      <c r="AN26" s="81">
        <v>0</v>
      </c>
      <c r="AO26" s="81" t="b">
        <v>0</v>
      </c>
      <c r="AP26" s="81">
        <v>0</v>
      </c>
      <c r="AQ26" s="81"/>
      <c r="AR26" s="81"/>
      <c r="AS26" s="81" t="s">
        <v>1057</v>
      </c>
      <c r="AT26" s="83" t="str">
        <f>HYPERLINK("https://www.youtube.com/channel/UC4xnqWp5r7wANtgDOImNqFg")</f>
        <v>https://www.youtube.com/channel/UC4xnqWp5r7wANtgDOImNqFg</v>
      </c>
      <c r="AU26" s="81">
        <v>3</v>
      </c>
      <c r="AV26" s="49">
        <v>0</v>
      </c>
      <c r="AW26" s="50">
        <v>0</v>
      </c>
      <c r="AX26" s="49">
        <v>6</v>
      </c>
      <c r="AY26" s="50">
        <v>26.08695652173913</v>
      </c>
      <c r="AZ26" s="49">
        <v>0</v>
      </c>
      <c r="BA26" s="50">
        <v>0</v>
      </c>
      <c r="BB26" s="49">
        <v>13</v>
      </c>
      <c r="BC26" s="50">
        <v>56.52173913043478</v>
      </c>
      <c r="BD26" s="49">
        <v>23</v>
      </c>
      <c r="BE26" s="49"/>
      <c r="BF26" s="49"/>
      <c r="BG26" s="49"/>
      <c r="BH26" s="49"/>
      <c r="BI26" s="49"/>
      <c r="BJ26" s="49"/>
      <c r="BK26" s="115" t="s">
        <v>1072</v>
      </c>
      <c r="BL26" s="115" t="s">
        <v>1072</v>
      </c>
      <c r="BM26" s="115" t="s">
        <v>1204</v>
      </c>
      <c r="BN26" s="115" t="s">
        <v>1204</v>
      </c>
      <c r="BO26" s="2"/>
      <c r="BP26" s="3"/>
      <c r="BQ26" s="3"/>
      <c r="BR26" s="3"/>
      <c r="BS26" s="3"/>
    </row>
    <row r="27" spans="1:71" ht="15">
      <c r="A27" s="66" t="s">
        <v>238</v>
      </c>
      <c r="B27" s="67"/>
      <c r="C27" s="67"/>
      <c r="D27" s="68">
        <v>150</v>
      </c>
      <c r="E27" s="70"/>
      <c r="F27" s="103" t="str">
        <f>HYPERLINK("https://yt3.ggpht.com/pSIuVd4Nvo2g_mnQAcJXLlcqLX-RihwJTucr96dSEX9L-XYzfeYWLZnRqmC2w2l0XbgW2swuDg=s88-c-k-c0x00ffffff-no-rj")</f>
        <v>https://yt3.ggpht.com/pSIuVd4Nvo2g_mnQAcJXLlcqLX-RihwJTucr96dSEX9L-XYzfeYWLZnRqmC2w2l0XbgW2swuDg=s88-c-k-c0x00ffffff-no-rj</v>
      </c>
      <c r="G27" s="67"/>
      <c r="H27" s="71" t="s">
        <v>565</v>
      </c>
      <c r="I27" s="72"/>
      <c r="J27" s="72" t="s">
        <v>159</v>
      </c>
      <c r="K27" s="71" t="s">
        <v>565</v>
      </c>
      <c r="L27" s="75">
        <v>1</v>
      </c>
      <c r="M27" s="76">
        <v>5190.5634765625</v>
      </c>
      <c r="N27" s="76">
        <v>2586.1640625</v>
      </c>
      <c r="O27" s="77"/>
      <c r="P27" s="78"/>
      <c r="Q27" s="78"/>
      <c r="R27" s="89"/>
      <c r="S27" s="49">
        <v>0</v>
      </c>
      <c r="T27" s="49">
        <v>1</v>
      </c>
      <c r="U27" s="50">
        <v>0</v>
      </c>
      <c r="V27" s="50">
        <v>0.015432</v>
      </c>
      <c r="W27" s="50">
        <v>0</v>
      </c>
      <c r="X27" s="50">
        <v>0.004911</v>
      </c>
      <c r="Y27" s="50">
        <v>0</v>
      </c>
      <c r="Z27" s="50">
        <v>0</v>
      </c>
      <c r="AA27" s="73">
        <v>27</v>
      </c>
      <c r="AB27" s="73"/>
      <c r="AC27" s="74"/>
      <c r="AD27" s="81" t="s">
        <v>565</v>
      </c>
      <c r="AE27" s="81"/>
      <c r="AF27" s="81"/>
      <c r="AG27" s="81"/>
      <c r="AH27" s="81"/>
      <c r="AI27" s="81" t="s">
        <v>892</v>
      </c>
      <c r="AJ27" s="85">
        <v>40112.075219907405</v>
      </c>
      <c r="AK27" s="83" t="str">
        <f>HYPERLINK("https://yt3.ggpht.com/pSIuVd4Nvo2g_mnQAcJXLlcqLX-RihwJTucr96dSEX9L-XYzfeYWLZnRqmC2w2l0XbgW2swuDg=s88-c-k-c0x00ffffff-no-rj")</f>
        <v>https://yt3.ggpht.com/pSIuVd4Nvo2g_mnQAcJXLlcqLX-RihwJTucr96dSEX9L-XYzfeYWLZnRqmC2w2l0XbgW2swuDg=s88-c-k-c0x00ffffff-no-rj</v>
      </c>
      <c r="AL27" s="81">
        <v>0</v>
      </c>
      <c r="AM27" s="81">
        <v>0</v>
      </c>
      <c r="AN27" s="81">
        <v>1</v>
      </c>
      <c r="AO27" s="81" t="b">
        <v>0</v>
      </c>
      <c r="AP27" s="81">
        <v>0</v>
      </c>
      <c r="AQ27" s="81"/>
      <c r="AR27" s="81"/>
      <c r="AS27" s="81" t="s">
        <v>1057</v>
      </c>
      <c r="AT27" s="83" t="str">
        <f>HYPERLINK("https://www.youtube.com/channel/UC84iafmAbgYg2oa_-3QUUKQ")</f>
        <v>https://www.youtube.com/channel/UC84iafmAbgYg2oa_-3QUUKQ</v>
      </c>
      <c r="AU27" s="81">
        <v>5</v>
      </c>
      <c r="AV27" s="49">
        <v>0</v>
      </c>
      <c r="AW27" s="50">
        <v>0</v>
      </c>
      <c r="AX27" s="49">
        <v>0</v>
      </c>
      <c r="AY27" s="50">
        <v>0</v>
      </c>
      <c r="AZ27" s="49">
        <v>0</v>
      </c>
      <c r="BA27" s="50">
        <v>0</v>
      </c>
      <c r="BB27" s="49">
        <v>1</v>
      </c>
      <c r="BC27" s="50">
        <v>33.333333333333336</v>
      </c>
      <c r="BD27" s="49">
        <v>3</v>
      </c>
      <c r="BE27" s="49"/>
      <c r="BF27" s="49"/>
      <c r="BG27" s="49"/>
      <c r="BH27" s="49"/>
      <c r="BI27" s="49"/>
      <c r="BJ27" s="49"/>
      <c r="BK27" s="115" t="s">
        <v>1073</v>
      </c>
      <c r="BL27" s="115" t="s">
        <v>1073</v>
      </c>
      <c r="BM27" s="115" t="s">
        <v>1634</v>
      </c>
      <c r="BN27" s="115" t="s">
        <v>1634</v>
      </c>
      <c r="BO27" s="2"/>
      <c r="BP27" s="3"/>
      <c r="BQ27" s="3"/>
      <c r="BR27" s="3"/>
      <c r="BS27" s="3"/>
    </row>
    <row r="28" spans="1:71" ht="15">
      <c r="A28" s="66" t="s">
        <v>239</v>
      </c>
      <c r="B28" s="67"/>
      <c r="C28" s="67"/>
      <c r="D28" s="68">
        <v>150</v>
      </c>
      <c r="E28" s="70"/>
      <c r="F28" s="103" t="str">
        <f>HYPERLINK("https://yt3.ggpht.com/ytc/AOPolaSFrRfKWSLcA967enREnSMcNxaCR0G2ZdXg3g=s88-c-k-c0x00ffffff-no-rj")</f>
        <v>https://yt3.ggpht.com/ytc/AOPolaSFrRfKWSLcA967enREnSMcNxaCR0G2ZdXg3g=s88-c-k-c0x00ffffff-no-rj</v>
      </c>
      <c r="G28" s="67"/>
      <c r="H28" s="71" t="s">
        <v>566</v>
      </c>
      <c r="I28" s="72"/>
      <c r="J28" s="72" t="s">
        <v>159</v>
      </c>
      <c r="K28" s="71" t="s">
        <v>566</v>
      </c>
      <c r="L28" s="75">
        <v>1</v>
      </c>
      <c r="M28" s="76">
        <v>6010.6943359375</v>
      </c>
      <c r="N28" s="76">
        <v>3246.8017578125</v>
      </c>
      <c r="O28" s="77"/>
      <c r="P28" s="78"/>
      <c r="Q28" s="78"/>
      <c r="R28" s="89"/>
      <c r="S28" s="49">
        <v>0</v>
      </c>
      <c r="T28" s="49">
        <v>1</v>
      </c>
      <c r="U28" s="50">
        <v>0</v>
      </c>
      <c r="V28" s="50">
        <v>0.015432</v>
      </c>
      <c r="W28" s="50">
        <v>0</v>
      </c>
      <c r="X28" s="50">
        <v>0.004911</v>
      </c>
      <c r="Y28" s="50">
        <v>0</v>
      </c>
      <c r="Z28" s="50">
        <v>0</v>
      </c>
      <c r="AA28" s="73">
        <v>28</v>
      </c>
      <c r="AB28" s="73"/>
      <c r="AC28" s="74"/>
      <c r="AD28" s="81" t="s">
        <v>566</v>
      </c>
      <c r="AE28" s="81"/>
      <c r="AF28" s="81"/>
      <c r="AG28" s="81"/>
      <c r="AH28" s="81"/>
      <c r="AI28" s="81" t="s">
        <v>894</v>
      </c>
      <c r="AJ28" s="85">
        <v>41420.52024305556</v>
      </c>
      <c r="AK28" s="83" t="str">
        <f>HYPERLINK("https://yt3.ggpht.com/ytc/AOPolaSFrRfKWSLcA967enREnSMcNxaCR0G2ZdXg3g=s88-c-k-c0x00ffffff-no-rj")</f>
        <v>https://yt3.ggpht.com/ytc/AOPolaSFrRfKWSLcA967enREnSMcNxaCR0G2ZdXg3g=s88-c-k-c0x00ffffff-no-rj</v>
      </c>
      <c r="AL28" s="81">
        <v>0</v>
      </c>
      <c r="AM28" s="81">
        <v>0</v>
      </c>
      <c r="AN28" s="81">
        <v>0</v>
      </c>
      <c r="AO28" s="81" t="b">
        <v>0</v>
      </c>
      <c r="AP28" s="81">
        <v>0</v>
      </c>
      <c r="AQ28" s="81"/>
      <c r="AR28" s="81"/>
      <c r="AS28" s="81" t="s">
        <v>1057</v>
      </c>
      <c r="AT28" s="83" t="str">
        <f>HYPERLINK("https://www.youtube.com/channel/UCSyJCoAav3PDjONN0T4xdjw")</f>
        <v>https://www.youtube.com/channel/UCSyJCoAav3PDjONN0T4xdjw</v>
      </c>
      <c r="AU28" s="81">
        <v>5</v>
      </c>
      <c r="AV28" s="49">
        <v>3</v>
      </c>
      <c r="AW28" s="50">
        <v>15.789473684210526</v>
      </c>
      <c r="AX28" s="49">
        <v>0</v>
      </c>
      <c r="AY28" s="50">
        <v>0</v>
      </c>
      <c r="AZ28" s="49">
        <v>0</v>
      </c>
      <c r="BA28" s="50">
        <v>0</v>
      </c>
      <c r="BB28" s="49">
        <v>5</v>
      </c>
      <c r="BC28" s="50">
        <v>26.31578947368421</v>
      </c>
      <c r="BD28" s="49">
        <v>19</v>
      </c>
      <c r="BE28" s="49"/>
      <c r="BF28" s="49"/>
      <c r="BG28" s="49"/>
      <c r="BH28" s="49"/>
      <c r="BI28" s="49"/>
      <c r="BJ28" s="49"/>
      <c r="BK28" s="115" t="s">
        <v>1074</v>
      </c>
      <c r="BL28" s="115" t="s">
        <v>1074</v>
      </c>
      <c r="BM28" s="115" t="s">
        <v>1205</v>
      </c>
      <c r="BN28" s="115" t="s">
        <v>1205</v>
      </c>
      <c r="BO28" s="2"/>
      <c r="BP28" s="3"/>
      <c r="BQ28" s="3"/>
      <c r="BR28" s="3"/>
      <c r="BS28" s="3"/>
    </row>
    <row r="29" spans="1:71" ht="15">
      <c r="A29" s="66" t="s">
        <v>240</v>
      </c>
      <c r="B29" s="67"/>
      <c r="C29" s="67"/>
      <c r="D29" s="68">
        <v>150</v>
      </c>
      <c r="E29" s="70"/>
      <c r="F29" s="103" t="str">
        <f>HYPERLINK("https://yt3.ggpht.com/LxMS5IRj-eZl_8SoZRLhbVNR5s1CMFCJy8UG5Za_5vyb1YNKqyBoGD20ECpUoZCn-cOYvyiJKA=s88-c-k-c0x00ffffff-no-rj")</f>
        <v>https://yt3.ggpht.com/LxMS5IRj-eZl_8SoZRLhbVNR5s1CMFCJy8UG5Za_5vyb1YNKqyBoGD20ECpUoZCn-cOYvyiJKA=s88-c-k-c0x00ffffff-no-rj</v>
      </c>
      <c r="G29" s="67"/>
      <c r="H29" s="71" t="s">
        <v>567</v>
      </c>
      <c r="I29" s="72"/>
      <c r="J29" s="72" t="s">
        <v>159</v>
      </c>
      <c r="K29" s="71" t="s">
        <v>567</v>
      </c>
      <c r="L29" s="75">
        <v>1</v>
      </c>
      <c r="M29" s="76">
        <v>5583.1376953125</v>
      </c>
      <c r="N29" s="76">
        <v>1623.40087890625</v>
      </c>
      <c r="O29" s="77"/>
      <c r="P29" s="78"/>
      <c r="Q29" s="78"/>
      <c r="R29" s="89"/>
      <c r="S29" s="49">
        <v>0</v>
      </c>
      <c r="T29" s="49">
        <v>1</v>
      </c>
      <c r="U29" s="50">
        <v>0</v>
      </c>
      <c r="V29" s="50">
        <v>0.015432</v>
      </c>
      <c r="W29" s="50">
        <v>0</v>
      </c>
      <c r="X29" s="50">
        <v>0.004911</v>
      </c>
      <c r="Y29" s="50">
        <v>0</v>
      </c>
      <c r="Z29" s="50">
        <v>0</v>
      </c>
      <c r="AA29" s="73">
        <v>29</v>
      </c>
      <c r="AB29" s="73"/>
      <c r="AC29" s="74"/>
      <c r="AD29" s="81" t="s">
        <v>567</v>
      </c>
      <c r="AE29" s="81"/>
      <c r="AF29" s="81"/>
      <c r="AG29" s="81"/>
      <c r="AH29" s="81"/>
      <c r="AI29" s="81" t="s">
        <v>895</v>
      </c>
      <c r="AJ29" s="85">
        <v>40404.32425925926</v>
      </c>
      <c r="AK29" s="83" t="str">
        <f>HYPERLINK("https://yt3.ggpht.com/LxMS5IRj-eZl_8SoZRLhbVNR5s1CMFCJy8UG5Za_5vyb1YNKqyBoGD20ECpUoZCn-cOYvyiJKA=s88-c-k-c0x00ffffff-no-rj")</f>
        <v>https://yt3.ggpht.com/LxMS5IRj-eZl_8SoZRLhbVNR5s1CMFCJy8UG5Za_5vyb1YNKqyBoGD20ECpUoZCn-cOYvyiJKA=s88-c-k-c0x00ffffff-no-rj</v>
      </c>
      <c r="AL29" s="81">
        <v>0</v>
      </c>
      <c r="AM29" s="81">
        <v>0</v>
      </c>
      <c r="AN29" s="81">
        <v>69</v>
      </c>
      <c r="AO29" s="81" t="b">
        <v>0</v>
      </c>
      <c r="AP29" s="81">
        <v>0</v>
      </c>
      <c r="AQ29" s="81"/>
      <c r="AR29" s="81"/>
      <c r="AS29" s="81" t="s">
        <v>1057</v>
      </c>
      <c r="AT29" s="83" t="str">
        <f>HYPERLINK("https://www.youtube.com/channel/UCvkAeUr1JJ61Grs40E-fSGQ")</f>
        <v>https://www.youtube.com/channel/UCvkAeUr1JJ61Grs40E-fSGQ</v>
      </c>
      <c r="AU29" s="81">
        <v>5</v>
      </c>
      <c r="AV29" s="49">
        <v>2</v>
      </c>
      <c r="AW29" s="50">
        <v>9.090909090909092</v>
      </c>
      <c r="AX29" s="49">
        <v>0</v>
      </c>
      <c r="AY29" s="50">
        <v>0</v>
      </c>
      <c r="AZ29" s="49">
        <v>0</v>
      </c>
      <c r="BA29" s="50">
        <v>0</v>
      </c>
      <c r="BB29" s="49">
        <v>10</v>
      </c>
      <c r="BC29" s="50">
        <v>45.45454545454545</v>
      </c>
      <c r="BD29" s="49">
        <v>22</v>
      </c>
      <c r="BE29" s="49"/>
      <c r="BF29" s="49"/>
      <c r="BG29" s="49"/>
      <c r="BH29" s="49"/>
      <c r="BI29" s="49"/>
      <c r="BJ29" s="49"/>
      <c r="BK29" s="115" t="s">
        <v>1075</v>
      </c>
      <c r="BL29" s="115" t="s">
        <v>1075</v>
      </c>
      <c r="BM29" s="115" t="s">
        <v>1206</v>
      </c>
      <c r="BN29" s="115" t="s">
        <v>1206</v>
      </c>
      <c r="BO29" s="2"/>
      <c r="BP29" s="3"/>
      <c r="BQ29" s="3"/>
      <c r="BR29" s="3"/>
      <c r="BS29" s="3"/>
    </row>
    <row r="30" spans="1:71" ht="15">
      <c r="A30" s="66" t="s">
        <v>241</v>
      </c>
      <c r="B30" s="67"/>
      <c r="C30" s="67"/>
      <c r="D30" s="68">
        <v>150</v>
      </c>
      <c r="E30" s="70"/>
      <c r="F30" s="103" t="str">
        <f>HYPERLINK("https://yt3.ggpht.com/ytc/AOPolaRvjqiQqQueoOPF3VMctxae5_LMDICwd6cBQw=s88-c-k-c0x00ffffff-no-rj")</f>
        <v>https://yt3.ggpht.com/ytc/AOPolaRvjqiQqQueoOPF3VMctxae5_LMDICwd6cBQw=s88-c-k-c0x00ffffff-no-rj</v>
      </c>
      <c r="G30" s="67"/>
      <c r="H30" s="71" t="s">
        <v>568</v>
      </c>
      <c r="I30" s="72"/>
      <c r="J30" s="72" t="s">
        <v>159</v>
      </c>
      <c r="K30" s="71" t="s">
        <v>568</v>
      </c>
      <c r="L30" s="75">
        <v>1</v>
      </c>
      <c r="M30" s="76">
        <v>6645.892578125</v>
      </c>
      <c r="N30" s="76">
        <v>1689.0194091796875</v>
      </c>
      <c r="O30" s="77"/>
      <c r="P30" s="78"/>
      <c r="Q30" s="78"/>
      <c r="R30" s="89"/>
      <c r="S30" s="49">
        <v>0</v>
      </c>
      <c r="T30" s="49">
        <v>1</v>
      </c>
      <c r="U30" s="50">
        <v>0</v>
      </c>
      <c r="V30" s="50">
        <v>0.015432</v>
      </c>
      <c r="W30" s="50">
        <v>0</v>
      </c>
      <c r="X30" s="50">
        <v>0.004911</v>
      </c>
      <c r="Y30" s="50">
        <v>0</v>
      </c>
      <c r="Z30" s="50">
        <v>0</v>
      </c>
      <c r="AA30" s="73">
        <v>30</v>
      </c>
      <c r="AB30" s="73"/>
      <c r="AC30" s="74"/>
      <c r="AD30" s="81" t="s">
        <v>568</v>
      </c>
      <c r="AE30" s="81"/>
      <c r="AF30" s="81"/>
      <c r="AG30" s="81"/>
      <c r="AH30" s="81"/>
      <c r="AI30" s="81" t="s">
        <v>896</v>
      </c>
      <c r="AJ30" s="85">
        <v>43796.45518518519</v>
      </c>
      <c r="AK30" s="83" t="str">
        <f>HYPERLINK("https://yt3.ggpht.com/ytc/AOPolaRvjqiQqQueoOPF3VMctxae5_LMDICwd6cBQw=s88-c-k-c0x00ffffff-no-rj")</f>
        <v>https://yt3.ggpht.com/ytc/AOPolaRvjqiQqQueoOPF3VMctxae5_LMDICwd6cBQw=s88-c-k-c0x00ffffff-no-rj</v>
      </c>
      <c r="AL30" s="81">
        <v>0</v>
      </c>
      <c r="AM30" s="81">
        <v>0</v>
      </c>
      <c r="AN30" s="81">
        <v>1</v>
      </c>
      <c r="AO30" s="81" t="b">
        <v>0</v>
      </c>
      <c r="AP30" s="81">
        <v>0</v>
      </c>
      <c r="AQ30" s="81"/>
      <c r="AR30" s="81"/>
      <c r="AS30" s="81" t="s">
        <v>1057</v>
      </c>
      <c r="AT30" s="83" t="str">
        <f>HYPERLINK("https://www.youtube.com/channel/UCUn24Z_vYKrPjaiPZdutWMQ")</f>
        <v>https://www.youtube.com/channel/UCUn24Z_vYKrPjaiPZdutWMQ</v>
      </c>
      <c r="AU30" s="81">
        <v>5</v>
      </c>
      <c r="AV30" s="49">
        <v>0</v>
      </c>
      <c r="AW30" s="50">
        <v>0</v>
      </c>
      <c r="AX30" s="49">
        <v>0</v>
      </c>
      <c r="AY30" s="50">
        <v>0</v>
      </c>
      <c r="AZ30" s="49">
        <v>0</v>
      </c>
      <c r="BA30" s="50">
        <v>0</v>
      </c>
      <c r="BB30" s="49">
        <v>5</v>
      </c>
      <c r="BC30" s="50">
        <v>29.41176470588235</v>
      </c>
      <c r="BD30" s="49">
        <v>17</v>
      </c>
      <c r="BE30" s="49"/>
      <c r="BF30" s="49"/>
      <c r="BG30" s="49"/>
      <c r="BH30" s="49"/>
      <c r="BI30" s="49"/>
      <c r="BJ30" s="49"/>
      <c r="BK30" s="115" t="s">
        <v>1076</v>
      </c>
      <c r="BL30" s="115" t="s">
        <v>1076</v>
      </c>
      <c r="BM30" s="115" t="s">
        <v>1207</v>
      </c>
      <c r="BN30" s="115" t="s">
        <v>1207</v>
      </c>
      <c r="BO30" s="2"/>
      <c r="BP30" s="3"/>
      <c r="BQ30" s="3"/>
      <c r="BR30" s="3"/>
      <c r="BS30" s="3"/>
    </row>
    <row r="31" spans="1:71" ht="15">
      <c r="A31" s="66" t="s">
        <v>243</v>
      </c>
      <c r="B31" s="67"/>
      <c r="C31" s="67"/>
      <c r="D31" s="68">
        <v>150</v>
      </c>
      <c r="E31" s="70"/>
      <c r="F31" s="103" t="str">
        <f>HYPERLINK("https://yt3.ggpht.com/ytc/AOPolaTHzIiVPH2CTFycUETGHOei1M_gzOBoxdJo9Q=s88-c-k-c0x00ffffff-no-rj")</f>
        <v>https://yt3.ggpht.com/ytc/AOPolaTHzIiVPH2CTFycUETGHOei1M_gzOBoxdJo9Q=s88-c-k-c0x00ffffff-no-rj</v>
      </c>
      <c r="G31" s="67"/>
      <c r="H31" s="71" t="s">
        <v>569</v>
      </c>
      <c r="I31" s="72"/>
      <c r="J31" s="72" t="s">
        <v>159</v>
      </c>
      <c r="K31" s="71" t="s">
        <v>569</v>
      </c>
      <c r="L31" s="75">
        <v>1</v>
      </c>
      <c r="M31" s="76">
        <v>6910.13671875</v>
      </c>
      <c r="N31" s="76">
        <v>2692.336181640625</v>
      </c>
      <c r="O31" s="77"/>
      <c r="P31" s="78"/>
      <c r="Q31" s="78"/>
      <c r="R31" s="89"/>
      <c r="S31" s="49">
        <v>0</v>
      </c>
      <c r="T31" s="49">
        <v>1</v>
      </c>
      <c r="U31" s="50">
        <v>0</v>
      </c>
      <c r="V31" s="50">
        <v>0.015432</v>
      </c>
      <c r="W31" s="50">
        <v>0</v>
      </c>
      <c r="X31" s="50">
        <v>0.004911</v>
      </c>
      <c r="Y31" s="50">
        <v>0</v>
      </c>
      <c r="Z31" s="50">
        <v>0</v>
      </c>
      <c r="AA31" s="73">
        <v>31</v>
      </c>
      <c r="AB31" s="73"/>
      <c r="AC31" s="74"/>
      <c r="AD31" s="81" t="s">
        <v>569</v>
      </c>
      <c r="AE31" s="81"/>
      <c r="AF31" s="81"/>
      <c r="AG31" s="81"/>
      <c r="AH31" s="81"/>
      <c r="AI31" s="81" t="s">
        <v>897</v>
      </c>
      <c r="AJ31" s="85">
        <v>44086.11798611111</v>
      </c>
      <c r="AK31" s="83" t="str">
        <f>HYPERLINK("https://yt3.ggpht.com/ytc/AOPolaTHzIiVPH2CTFycUETGHOei1M_gzOBoxdJo9Q=s88-c-k-c0x00ffffff-no-rj")</f>
        <v>https://yt3.ggpht.com/ytc/AOPolaTHzIiVPH2CTFycUETGHOei1M_gzOBoxdJo9Q=s88-c-k-c0x00ffffff-no-rj</v>
      </c>
      <c r="AL31" s="81">
        <v>0</v>
      </c>
      <c r="AM31" s="81">
        <v>0</v>
      </c>
      <c r="AN31" s="81">
        <v>1</v>
      </c>
      <c r="AO31" s="81" t="b">
        <v>0</v>
      </c>
      <c r="AP31" s="81">
        <v>0</v>
      </c>
      <c r="AQ31" s="81"/>
      <c r="AR31" s="81"/>
      <c r="AS31" s="81" t="s">
        <v>1057</v>
      </c>
      <c r="AT31" s="83" t="str">
        <f>HYPERLINK("https://www.youtube.com/channel/UCc0q1ipPdTrzCWWsDPKTE_g")</f>
        <v>https://www.youtube.com/channel/UCc0q1ipPdTrzCWWsDPKTE_g</v>
      </c>
      <c r="AU31" s="81">
        <v>5</v>
      </c>
      <c r="AV31" s="49">
        <v>0</v>
      </c>
      <c r="AW31" s="50">
        <v>0</v>
      </c>
      <c r="AX31" s="49">
        <v>1</v>
      </c>
      <c r="AY31" s="50">
        <v>3.8461538461538463</v>
      </c>
      <c r="AZ31" s="49">
        <v>0</v>
      </c>
      <c r="BA31" s="50">
        <v>0</v>
      </c>
      <c r="BB31" s="49">
        <v>11</v>
      </c>
      <c r="BC31" s="50">
        <v>42.30769230769231</v>
      </c>
      <c r="BD31" s="49">
        <v>26</v>
      </c>
      <c r="BE31" s="49"/>
      <c r="BF31" s="49"/>
      <c r="BG31" s="49"/>
      <c r="BH31" s="49"/>
      <c r="BI31" s="49"/>
      <c r="BJ31" s="49"/>
      <c r="BK31" s="115" t="s">
        <v>1077</v>
      </c>
      <c r="BL31" s="115" t="s">
        <v>1077</v>
      </c>
      <c r="BM31" s="115" t="s">
        <v>1208</v>
      </c>
      <c r="BN31" s="115" t="s">
        <v>1208</v>
      </c>
      <c r="BO31" s="2"/>
      <c r="BP31" s="3"/>
      <c r="BQ31" s="3"/>
      <c r="BR31" s="3"/>
      <c r="BS31" s="3"/>
    </row>
    <row r="32" spans="1:71" ht="15">
      <c r="A32" s="66" t="s">
        <v>244</v>
      </c>
      <c r="B32" s="67"/>
      <c r="C32" s="67"/>
      <c r="D32" s="68">
        <v>150</v>
      </c>
      <c r="E32" s="70"/>
      <c r="F32" s="103" t="str">
        <f>HYPERLINK("https://yt3.ggpht.com/ytc/AOPolaTRtRpGSA7pqmnWGXiv3BEJS4bu0MlSavk0RR0D=s88-c-k-c0x00ffffff-no-rj")</f>
        <v>https://yt3.ggpht.com/ytc/AOPolaTRtRpGSA7pqmnWGXiv3BEJS4bu0MlSavk0RR0D=s88-c-k-c0x00ffffff-no-rj</v>
      </c>
      <c r="G32" s="67"/>
      <c r="H32" s="71" t="s">
        <v>570</v>
      </c>
      <c r="I32" s="72"/>
      <c r="J32" s="72" t="s">
        <v>159</v>
      </c>
      <c r="K32" s="71" t="s">
        <v>570</v>
      </c>
      <c r="L32" s="75">
        <v>1</v>
      </c>
      <c r="M32" s="76">
        <v>8451.9150390625</v>
      </c>
      <c r="N32" s="76">
        <v>1400.721923828125</v>
      </c>
      <c r="O32" s="77"/>
      <c r="P32" s="78"/>
      <c r="Q32" s="78"/>
      <c r="R32" s="89"/>
      <c r="S32" s="49">
        <v>0</v>
      </c>
      <c r="T32" s="49">
        <v>1</v>
      </c>
      <c r="U32" s="50">
        <v>0</v>
      </c>
      <c r="V32" s="50">
        <v>0.005556</v>
      </c>
      <c r="W32" s="50">
        <v>0</v>
      </c>
      <c r="X32" s="50">
        <v>0.005139</v>
      </c>
      <c r="Y32" s="50">
        <v>0</v>
      </c>
      <c r="Z32" s="50">
        <v>0</v>
      </c>
      <c r="AA32" s="73">
        <v>32</v>
      </c>
      <c r="AB32" s="73"/>
      <c r="AC32" s="74"/>
      <c r="AD32" s="81" t="s">
        <v>570</v>
      </c>
      <c r="AE32" s="81" t="s">
        <v>570</v>
      </c>
      <c r="AF32" s="81"/>
      <c r="AG32" s="81"/>
      <c r="AH32" s="81"/>
      <c r="AI32" s="81" t="s">
        <v>898</v>
      </c>
      <c r="AJ32" s="85">
        <v>42607.5246412037</v>
      </c>
      <c r="AK32" s="83" t="str">
        <f>HYPERLINK("https://yt3.ggpht.com/ytc/AOPolaTRtRpGSA7pqmnWGXiv3BEJS4bu0MlSavk0RR0D=s88-c-k-c0x00ffffff-no-rj")</f>
        <v>https://yt3.ggpht.com/ytc/AOPolaTRtRpGSA7pqmnWGXiv3BEJS4bu0MlSavk0RR0D=s88-c-k-c0x00ffffff-no-rj</v>
      </c>
      <c r="AL32" s="81">
        <v>4848</v>
      </c>
      <c r="AM32" s="81">
        <v>0</v>
      </c>
      <c r="AN32" s="81">
        <v>63</v>
      </c>
      <c r="AO32" s="81" t="b">
        <v>0</v>
      </c>
      <c r="AP32" s="81">
        <v>85</v>
      </c>
      <c r="AQ32" s="81"/>
      <c r="AR32" s="81"/>
      <c r="AS32" s="81" t="s">
        <v>1057</v>
      </c>
      <c r="AT32" s="83" t="str">
        <f>HYPERLINK("https://www.youtube.com/channel/UCvyGWhEbMxtdznAGgit0VZw")</f>
        <v>https://www.youtube.com/channel/UCvyGWhEbMxtdznAGgit0VZw</v>
      </c>
      <c r="AU32" s="81">
        <v>13</v>
      </c>
      <c r="AV32" s="49">
        <v>1</v>
      </c>
      <c r="AW32" s="50">
        <v>2.5641025641025643</v>
      </c>
      <c r="AX32" s="49">
        <v>0</v>
      </c>
      <c r="AY32" s="50">
        <v>0</v>
      </c>
      <c r="AZ32" s="49">
        <v>0</v>
      </c>
      <c r="BA32" s="50">
        <v>0</v>
      </c>
      <c r="BB32" s="49">
        <v>15</v>
      </c>
      <c r="BC32" s="50">
        <v>38.46153846153846</v>
      </c>
      <c r="BD32" s="49">
        <v>39</v>
      </c>
      <c r="BE32" s="49"/>
      <c r="BF32" s="49"/>
      <c r="BG32" s="49"/>
      <c r="BH32" s="49"/>
      <c r="BI32" s="49"/>
      <c r="BJ32" s="49"/>
      <c r="BK32" s="115" t="s">
        <v>1078</v>
      </c>
      <c r="BL32" s="115" t="s">
        <v>1078</v>
      </c>
      <c r="BM32" s="115" t="s">
        <v>1209</v>
      </c>
      <c r="BN32" s="115" t="s">
        <v>1209</v>
      </c>
      <c r="BO32" s="2"/>
      <c r="BP32" s="3"/>
      <c r="BQ32" s="3"/>
      <c r="BR32" s="3"/>
      <c r="BS32" s="3"/>
    </row>
    <row r="33" spans="1:71" ht="15">
      <c r="A33" s="66" t="s">
        <v>245</v>
      </c>
      <c r="B33" s="67"/>
      <c r="C33" s="67"/>
      <c r="D33" s="68">
        <v>150</v>
      </c>
      <c r="E33" s="70"/>
      <c r="F33" s="103" t="str">
        <f>HYPERLINK("https://yt3.ggpht.com/ytc/AOPolaS9Ueh7seaozcInLHL_GqS_yQSQxvHMRAxpmCch2g=s88-c-k-c0x00ffffff-no-rj")</f>
        <v>https://yt3.ggpht.com/ytc/AOPolaS9Ueh7seaozcInLHL_GqS_yQSQxvHMRAxpmCch2g=s88-c-k-c0x00ffffff-no-rj</v>
      </c>
      <c r="G33" s="67"/>
      <c r="H33" s="71" t="s">
        <v>768</v>
      </c>
      <c r="I33" s="72"/>
      <c r="J33" s="72" t="s">
        <v>159</v>
      </c>
      <c r="K33" s="71" t="s">
        <v>768</v>
      </c>
      <c r="L33" s="75">
        <v>1</v>
      </c>
      <c r="M33" s="76">
        <v>9009.18359375</v>
      </c>
      <c r="N33" s="76">
        <v>1400.721923828125</v>
      </c>
      <c r="O33" s="77"/>
      <c r="P33" s="78"/>
      <c r="Q33" s="78"/>
      <c r="R33" s="89"/>
      <c r="S33" s="49">
        <v>2</v>
      </c>
      <c r="T33" s="49">
        <v>1</v>
      </c>
      <c r="U33" s="50">
        <v>0</v>
      </c>
      <c r="V33" s="50">
        <v>0.005556</v>
      </c>
      <c r="W33" s="50">
        <v>0</v>
      </c>
      <c r="X33" s="50">
        <v>0.00591</v>
      </c>
      <c r="Y33" s="50">
        <v>0</v>
      </c>
      <c r="Z33" s="50">
        <v>0</v>
      </c>
      <c r="AA33" s="73">
        <v>33</v>
      </c>
      <c r="AB33" s="73"/>
      <c r="AC33" s="74"/>
      <c r="AD33" s="81" t="s">
        <v>768</v>
      </c>
      <c r="AE33" s="81" t="s">
        <v>809</v>
      </c>
      <c r="AF33" s="81"/>
      <c r="AG33" s="81"/>
      <c r="AH33" s="81"/>
      <c r="AI33" s="81" t="s">
        <v>899</v>
      </c>
      <c r="AJ33" s="85">
        <v>42196.68739583333</v>
      </c>
      <c r="AK33" s="83" t="str">
        <f>HYPERLINK("https://yt3.ggpht.com/ytc/AOPolaS9Ueh7seaozcInLHL_GqS_yQSQxvHMRAxpmCch2g=s88-c-k-c0x00ffffff-no-rj")</f>
        <v>https://yt3.ggpht.com/ytc/AOPolaS9Ueh7seaozcInLHL_GqS_yQSQxvHMRAxpmCch2g=s88-c-k-c0x00ffffff-no-rj</v>
      </c>
      <c r="AL33" s="81">
        <v>1992798</v>
      </c>
      <c r="AM33" s="81">
        <v>0</v>
      </c>
      <c r="AN33" s="81">
        <v>17400</v>
      </c>
      <c r="AO33" s="81" t="b">
        <v>0</v>
      </c>
      <c r="AP33" s="81">
        <v>16668</v>
      </c>
      <c r="AQ33" s="81"/>
      <c r="AR33" s="81"/>
      <c r="AS33" s="81" t="s">
        <v>1057</v>
      </c>
      <c r="AT33" s="83" t="str">
        <f>HYPERLINK("https://www.youtube.com/channel/UCUyaTH0R5YOHrJENYNUw-Ug")</f>
        <v>https://www.youtube.com/channel/UCUyaTH0R5YOHrJENYNUw-Ug</v>
      </c>
      <c r="AU33" s="81">
        <v>13</v>
      </c>
      <c r="AV33" s="49"/>
      <c r="AW33" s="50"/>
      <c r="AX33" s="49"/>
      <c r="AY33" s="50"/>
      <c r="AZ33" s="49"/>
      <c r="BA33" s="50"/>
      <c r="BB33" s="49"/>
      <c r="BC33" s="50"/>
      <c r="BD33" s="49"/>
      <c r="BE33" s="49"/>
      <c r="BF33" s="49"/>
      <c r="BG33" s="49"/>
      <c r="BH33" s="49"/>
      <c r="BI33" s="49"/>
      <c r="BJ33" s="49"/>
      <c r="BK33" s="115" t="s">
        <v>1634</v>
      </c>
      <c r="BL33" s="115" t="s">
        <v>1634</v>
      </c>
      <c r="BM33" s="115" t="s">
        <v>1634</v>
      </c>
      <c r="BN33" s="115" t="s">
        <v>1634</v>
      </c>
      <c r="BO33" s="2"/>
      <c r="BP33" s="3"/>
      <c r="BQ33" s="3"/>
      <c r="BR33" s="3"/>
      <c r="BS33" s="3"/>
    </row>
    <row r="34" spans="1:71" ht="15">
      <c r="A34" s="66" t="s">
        <v>246</v>
      </c>
      <c r="B34" s="67"/>
      <c r="C34" s="67"/>
      <c r="D34" s="68">
        <v>150</v>
      </c>
      <c r="E34" s="70"/>
      <c r="F34" s="103" t="str">
        <f>HYPERLINK("https://yt3.ggpht.com/ytc/AOPolaTBDyHBnLKykCRofAhOQDAszLDS2jkBoMqucarL=s88-c-k-c0x00ffffff-no-rj")</f>
        <v>https://yt3.ggpht.com/ytc/AOPolaTBDyHBnLKykCRofAhOQDAszLDS2jkBoMqucarL=s88-c-k-c0x00ffffff-no-rj</v>
      </c>
      <c r="G34" s="67"/>
      <c r="H34" s="71" t="s">
        <v>571</v>
      </c>
      <c r="I34" s="72"/>
      <c r="J34" s="72" t="s">
        <v>159</v>
      </c>
      <c r="K34" s="71" t="s">
        <v>571</v>
      </c>
      <c r="L34" s="75">
        <v>1</v>
      </c>
      <c r="M34" s="76">
        <v>9143.658203125</v>
      </c>
      <c r="N34" s="76">
        <v>6608.53466796875</v>
      </c>
      <c r="O34" s="77"/>
      <c r="P34" s="78"/>
      <c r="Q34" s="78"/>
      <c r="R34" s="89"/>
      <c r="S34" s="49">
        <v>0</v>
      </c>
      <c r="T34" s="49">
        <v>1</v>
      </c>
      <c r="U34" s="50">
        <v>0</v>
      </c>
      <c r="V34" s="50">
        <v>0.018182</v>
      </c>
      <c r="W34" s="50">
        <v>0</v>
      </c>
      <c r="X34" s="50">
        <v>0.004895</v>
      </c>
      <c r="Y34" s="50">
        <v>0</v>
      </c>
      <c r="Z34" s="50">
        <v>0</v>
      </c>
      <c r="AA34" s="73">
        <v>34</v>
      </c>
      <c r="AB34" s="73"/>
      <c r="AC34" s="74"/>
      <c r="AD34" s="81" t="s">
        <v>571</v>
      </c>
      <c r="AE34" s="81" t="s">
        <v>810</v>
      </c>
      <c r="AF34" s="81"/>
      <c r="AG34" s="81"/>
      <c r="AH34" s="81"/>
      <c r="AI34" s="81" t="s">
        <v>900</v>
      </c>
      <c r="AJ34" s="85">
        <v>40559.39366898148</v>
      </c>
      <c r="AK34" s="83" t="str">
        <f>HYPERLINK("https://yt3.ggpht.com/ytc/AOPolaTBDyHBnLKykCRofAhOQDAszLDS2jkBoMqucarL=s88-c-k-c0x00ffffff-no-rj")</f>
        <v>https://yt3.ggpht.com/ytc/AOPolaTBDyHBnLKykCRofAhOQDAszLDS2jkBoMqucarL=s88-c-k-c0x00ffffff-no-rj</v>
      </c>
      <c r="AL34" s="81">
        <v>83136</v>
      </c>
      <c r="AM34" s="81">
        <v>0</v>
      </c>
      <c r="AN34" s="81">
        <v>534</v>
      </c>
      <c r="AO34" s="81" t="b">
        <v>0</v>
      </c>
      <c r="AP34" s="81">
        <v>103</v>
      </c>
      <c r="AQ34" s="81"/>
      <c r="AR34" s="81"/>
      <c r="AS34" s="81" t="s">
        <v>1057</v>
      </c>
      <c r="AT34" s="83" t="str">
        <f>HYPERLINK("https://www.youtube.com/channel/UCqeU1fMh_NhAx3teVQ7YYtw")</f>
        <v>https://www.youtube.com/channel/UCqeU1fMh_NhAx3teVQ7YYtw</v>
      </c>
      <c r="AU34" s="81">
        <v>4</v>
      </c>
      <c r="AV34" s="49">
        <v>2</v>
      </c>
      <c r="AW34" s="50">
        <v>28.571428571428573</v>
      </c>
      <c r="AX34" s="49">
        <v>0</v>
      </c>
      <c r="AY34" s="50">
        <v>0</v>
      </c>
      <c r="AZ34" s="49">
        <v>0</v>
      </c>
      <c r="BA34" s="50">
        <v>0</v>
      </c>
      <c r="BB34" s="49">
        <v>3</v>
      </c>
      <c r="BC34" s="50">
        <v>42.857142857142854</v>
      </c>
      <c r="BD34" s="49">
        <v>7</v>
      </c>
      <c r="BE34" s="49"/>
      <c r="BF34" s="49"/>
      <c r="BG34" s="49"/>
      <c r="BH34" s="49"/>
      <c r="BI34" s="49"/>
      <c r="BJ34" s="49"/>
      <c r="BK34" s="115" t="s">
        <v>1079</v>
      </c>
      <c r="BL34" s="115" t="s">
        <v>1079</v>
      </c>
      <c r="BM34" s="115" t="s">
        <v>1210</v>
      </c>
      <c r="BN34" s="115" t="s">
        <v>1210</v>
      </c>
      <c r="BO34" s="2"/>
      <c r="BP34" s="3"/>
      <c r="BQ34" s="3"/>
      <c r="BR34" s="3"/>
      <c r="BS34" s="3"/>
    </row>
    <row r="35" spans="1:71" ht="15">
      <c r="A35" s="66" t="s">
        <v>247</v>
      </c>
      <c r="B35" s="67"/>
      <c r="C35" s="67"/>
      <c r="D35" s="68">
        <v>150</v>
      </c>
      <c r="E35" s="70"/>
      <c r="F35" s="103" t="str">
        <f>HYPERLINK("https://yt3.ggpht.com/ytc/AOPolaSjSTXRg5VG3V1cpz_ujB6rL_IlAKOjK702iFkB=s88-c-k-c0x00ffffff-no-rj")</f>
        <v>https://yt3.ggpht.com/ytc/AOPolaSjSTXRg5VG3V1cpz_ujB6rL_IlAKOjK702iFkB=s88-c-k-c0x00ffffff-no-rj</v>
      </c>
      <c r="G35" s="67"/>
      <c r="H35" s="71" t="s">
        <v>572</v>
      </c>
      <c r="I35" s="72"/>
      <c r="J35" s="72" t="s">
        <v>159</v>
      </c>
      <c r="K35" s="71" t="s">
        <v>572</v>
      </c>
      <c r="L35" s="75">
        <v>1</v>
      </c>
      <c r="M35" s="76">
        <v>8873.8466796875</v>
      </c>
      <c r="N35" s="76">
        <v>5061.68701171875</v>
      </c>
      <c r="O35" s="77"/>
      <c r="P35" s="78"/>
      <c r="Q35" s="78"/>
      <c r="R35" s="89"/>
      <c r="S35" s="49">
        <v>0</v>
      </c>
      <c r="T35" s="49">
        <v>1</v>
      </c>
      <c r="U35" s="50">
        <v>0</v>
      </c>
      <c r="V35" s="50">
        <v>0.018182</v>
      </c>
      <c r="W35" s="50">
        <v>0</v>
      </c>
      <c r="X35" s="50">
        <v>0.004895</v>
      </c>
      <c r="Y35" s="50">
        <v>0</v>
      </c>
      <c r="Z35" s="50">
        <v>0</v>
      </c>
      <c r="AA35" s="73">
        <v>35</v>
      </c>
      <c r="AB35" s="73"/>
      <c r="AC35" s="74"/>
      <c r="AD35" s="81" t="s">
        <v>572</v>
      </c>
      <c r="AE35" s="81" t="s">
        <v>812</v>
      </c>
      <c r="AF35" s="81"/>
      <c r="AG35" s="81"/>
      <c r="AH35" s="81"/>
      <c r="AI35" s="81" t="s">
        <v>902</v>
      </c>
      <c r="AJ35" s="85">
        <v>40258.17585648148</v>
      </c>
      <c r="AK35" s="83" t="str">
        <f>HYPERLINK("https://yt3.ggpht.com/ytc/AOPolaSjSTXRg5VG3V1cpz_ujB6rL_IlAKOjK702iFkB=s88-c-k-c0x00ffffff-no-rj")</f>
        <v>https://yt3.ggpht.com/ytc/AOPolaSjSTXRg5VG3V1cpz_ujB6rL_IlAKOjK702iFkB=s88-c-k-c0x00ffffff-no-rj</v>
      </c>
      <c r="AL35" s="81">
        <v>0</v>
      </c>
      <c r="AM35" s="81">
        <v>0</v>
      </c>
      <c r="AN35" s="81">
        <v>1290</v>
      </c>
      <c r="AO35" s="81" t="b">
        <v>0</v>
      </c>
      <c r="AP35" s="81">
        <v>0</v>
      </c>
      <c r="AQ35" s="81"/>
      <c r="AR35" s="81"/>
      <c r="AS35" s="81" t="s">
        <v>1057</v>
      </c>
      <c r="AT35" s="83" t="str">
        <f>HYPERLINK("https://www.youtube.com/channel/UCgLnwiK5ydVeIBlxwUkuLGw")</f>
        <v>https://www.youtube.com/channel/UCgLnwiK5ydVeIBlxwUkuLGw</v>
      </c>
      <c r="AU35" s="81">
        <v>4</v>
      </c>
      <c r="AV35" s="49">
        <v>3</v>
      </c>
      <c r="AW35" s="50">
        <v>14.285714285714286</v>
      </c>
      <c r="AX35" s="49">
        <v>0</v>
      </c>
      <c r="AY35" s="50">
        <v>0</v>
      </c>
      <c r="AZ35" s="49">
        <v>0</v>
      </c>
      <c r="BA35" s="50">
        <v>0</v>
      </c>
      <c r="BB35" s="49">
        <v>5</v>
      </c>
      <c r="BC35" s="50">
        <v>23.80952380952381</v>
      </c>
      <c r="BD35" s="49">
        <v>21</v>
      </c>
      <c r="BE35" s="49"/>
      <c r="BF35" s="49"/>
      <c r="BG35" s="49"/>
      <c r="BH35" s="49"/>
      <c r="BI35" s="49"/>
      <c r="BJ35" s="49"/>
      <c r="BK35" s="115" t="s">
        <v>1080</v>
      </c>
      <c r="BL35" s="115" t="s">
        <v>1080</v>
      </c>
      <c r="BM35" s="115" t="s">
        <v>1211</v>
      </c>
      <c r="BN35" s="115" t="s">
        <v>1211</v>
      </c>
      <c r="BO35" s="2"/>
      <c r="BP35" s="3"/>
      <c r="BQ35" s="3"/>
      <c r="BR35" s="3"/>
      <c r="BS35" s="3"/>
    </row>
    <row r="36" spans="1:71" ht="15">
      <c r="A36" s="66" t="s">
        <v>248</v>
      </c>
      <c r="B36" s="67"/>
      <c r="C36" s="67"/>
      <c r="D36" s="68">
        <v>150</v>
      </c>
      <c r="E36" s="70"/>
      <c r="F36" s="103" t="str">
        <f>HYPERLINK("https://yt3.ggpht.com/ytc/AOPolaQn8Y0JUxu5MMN-KlOy56qRLdD12eJQOTHPqXNp3Q=s88-c-k-c0x00ffffff-no-rj")</f>
        <v>https://yt3.ggpht.com/ytc/AOPolaQn8Y0JUxu5MMN-KlOy56qRLdD12eJQOTHPqXNp3Q=s88-c-k-c0x00ffffff-no-rj</v>
      </c>
      <c r="G36" s="67"/>
      <c r="H36" s="71" t="s">
        <v>573</v>
      </c>
      <c r="I36" s="72"/>
      <c r="J36" s="72" t="s">
        <v>159</v>
      </c>
      <c r="K36" s="71" t="s">
        <v>573</v>
      </c>
      <c r="L36" s="75">
        <v>1</v>
      </c>
      <c r="M36" s="76">
        <v>9858.515625</v>
      </c>
      <c r="N36" s="76">
        <v>4937.31298828125</v>
      </c>
      <c r="O36" s="77"/>
      <c r="P36" s="78"/>
      <c r="Q36" s="78"/>
      <c r="R36" s="89"/>
      <c r="S36" s="49">
        <v>0</v>
      </c>
      <c r="T36" s="49">
        <v>1</v>
      </c>
      <c r="U36" s="50">
        <v>0</v>
      </c>
      <c r="V36" s="50">
        <v>0.018182</v>
      </c>
      <c r="W36" s="50">
        <v>0</v>
      </c>
      <c r="X36" s="50">
        <v>0.004895</v>
      </c>
      <c r="Y36" s="50">
        <v>0</v>
      </c>
      <c r="Z36" s="50">
        <v>0</v>
      </c>
      <c r="AA36" s="73">
        <v>36</v>
      </c>
      <c r="AB36" s="73"/>
      <c r="AC36" s="74"/>
      <c r="AD36" s="81" t="s">
        <v>573</v>
      </c>
      <c r="AE36" s="81"/>
      <c r="AF36" s="81"/>
      <c r="AG36" s="81"/>
      <c r="AH36" s="81"/>
      <c r="AI36" s="81" t="s">
        <v>903</v>
      </c>
      <c r="AJ36" s="85">
        <v>41435.359131944446</v>
      </c>
      <c r="AK36" s="83" t="str">
        <f>HYPERLINK("https://yt3.ggpht.com/ytc/AOPolaQn8Y0JUxu5MMN-KlOy56qRLdD12eJQOTHPqXNp3Q=s88-c-k-c0x00ffffff-no-rj")</f>
        <v>https://yt3.ggpht.com/ytc/AOPolaQn8Y0JUxu5MMN-KlOy56qRLdD12eJQOTHPqXNp3Q=s88-c-k-c0x00ffffff-no-rj</v>
      </c>
      <c r="AL36" s="81">
        <v>0</v>
      </c>
      <c r="AM36" s="81">
        <v>0</v>
      </c>
      <c r="AN36" s="81">
        <v>11</v>
      </c>
      <c r="AO36" s="81" t="b">
        <v>0</v>
      </c>
      <c r="AP36" s="81">
        <v>0</v>
      </c>
      <c r="AQ36" s="81"/>
      <c r="AR36" s="81"/>
      <c r="AS36" s="81" t="s">
        <v>1057</v>
      </c>
      <c r="AT36" s="83" t="str">
        <f>HYPERLINK("https://www.youtube.com/channel/UCdSt0UlIdni98FI6e8i1HMA")</f>
        <v>https://www.youtube.com/channel/UCdSt0UlIdni98FI6e8i1HMA</v>
      </c>
      <c r="AU36" s="81">
        <v>4</v>
      </c>
      <c r="AV36" s="49">
        <v>0</v>
      </c>
      <c r="AW36" s="50">
        <v>0</v>
      </c>
      <c r="AX36" s="49">
        <v>0</v>
      </c>
      <c r="AY36" s="50">
        <v>0</v>
      </c>
      <c r="AZ36" s="49">
        <v>0</v>
      </c>
      <c r="BA36" s="50">
        <v>0</v>
      </c>
      <c r="BB36" s="49">
        <v>5</v>
      </c>
      <c r="BC36" s="50">
        <v>41.666666666666664</v>
      </c>
      <c r="BD36" s="49">
        <v>12</v>
      </c>
      <c r="BE36" s="49"/>
      <c r="BF36" s="49"/>
      <c r="BG36" s="49"/>
      <c r="BH36" s="49"/>
      <c r="BI36" s="49"/>
      <c r="BJ36" s="49"/>
      <c r="BK36" s="115" t="s">
        <v>1081</v>
      </c>
      <c r="BL36" s="115" t="s">
        <v>1081</v>
      </c>
      <c r="BM36" s="115" t="s">
        <v>1212</v>
      </c>
      <c r="BN36" s="115" t="s">
        <v>1212</v>
      </c>
      <c r="BO36" s="2"/>
      <c r="BP36" s="3"/>
      <c r="BQ36" s="3"/>
      <c r="BR36" s="3"/>
      <c r="BS36" s="3"/>
    </row>
    <row r="37" spans="1:71" ht="15">
      <c r="A37" s="66" t="s">
        <v>249</v>
      </c>
      <c r="B37" s="67"/>
      <c r="C37" s="67"/>
      <c r="D37" s="68">
        <v>150</v>
      </c>
      <c r="E37" s="70"/>
      <c r="F37" s="103" t="str">
        <f>HYPERLINK("https://yt3.ggpht.com/lVTR5Gil9llUvQSNYTLfTOY0OeKZIZ0RXupIk7NE1CnQAH2Fn5VzLGYii4eqJhnwo4xSxtAvTA=s88-c-k-c0x00ffffff-no-rj")</f>
        <v>https://yt3.ggpht.com/lVTR5Gil9llUvQSNYTLfTOY0OeKZIZ0RXupIk7NE1CnQAH2Fn5VzLGYii4eqJhnwo4xSxtAvTA=s88-c-k-c0x00ffffff-no-rj</v>
      </c>
      <c r="G37" s="67"/>
      <c r="H37" s="71" t="s">
        <v>574</v>
      </c>
      <c r="I37" s="72"/>
      <c r="J37" s="72" t="s">
        <v>159</v>
      </c>
      <c r="K37" s="71" t="s">
        <v>574</v>
      </c>
      <c r="L37" s="75">
        <v>1</v>
      </c>
      <c r="M37" s="76">
        <v>9623.0419921875</v>
      </c>
      <c r="N37" s="76">
        <v>3390.465576171875</v>
      </c>
      <c r="O37" s="77"/>
      <c r="P37" s="78"/>
      <c r="Q37" s="78"/>
      <c r="R37" s="89"/>
      <c r="S37" s="49">
        <v>0</v>
      </c>
      <c r="T37" s="49">
        <v>1</v>
      </c>
      <c r="U37" s="50">
        <v>0</v>
      </c>
      <c r="V37" s="50">
        <v>0.018182</v>
      </c>
      <c r="W37" s="50">
        <v>0</v>
      </c>
      <c r="X37" s="50">
        <v>0.004895</v>
      </c>
      <c r="Y37" s="50">
        <v>0</v>
      </c>
      <c r="Z37" s="50">
        <v>0</v>
      </c>
      <c r="AA37" s="73">
        <v>37</v>
      </c>
      <c r="AB37" s="73"/>
      <c r="AC37" s="74"/>
      <c r="AD37" s="81" t="s">
        <v>574</v>
      </c>
      <c r="AE37" s="81" t="s">
        <v>813</v>
      </c>
      <c r="AF37" s="81"/>
      <c r="AG37" s="81"/>
      <c r="AH37" s="81"/>
      <c r="AI37" s="81" t="s">
        <v>904</v>
      </c>
      <c r="AJ37" s="85">
        <v>41586.30430555555</v>
      </c>
      <c r="AK37" s="83" t="str">
        <f>HYPERLINK("https://yt3.ggpht.com/lVTR5Gil9llUvQSNYTLfTOY0OeKZIZ0RXupIk7NE1CnQAH2Fn5VzLGYii4eqJhnwo4xSxtAvTA=s88-c-k-c0x00ffffff-no-rj")</f>
        <v>https://yt3.ggpht.com/lVTR5Gil9llUvQSNYTLfTOY0OeKZIZ0RXupIk7NE1CnQAH2Fn5VzLGYii4eqJhnwo4xSxtAvTA=s88-c-k-c0x00ffffff-no-rj</v>
      </c>
      <c r="AL37" s="81">
        <v>17577</v>
      </c>
      <c r="AM37" s="81">
        <v>0</v>
      </c>
      <c r="AN37" s="81">
        <v>155</v>
      </c>
      <c r="AO37" s="81" t="b">
        <v>0</v>
      </c>
      <c r="AP37" s="81">
        <v>50</v>
      </c>
      <c r="AQ37" s="81"/>
      <c r="AR37" s="81"/>
      <c r="AS37" s="81" t="s">
        <v>1057</v>
      </c>
      <c r="AT37" s="83" t="str">
        <f>HYPERLINK("https://www.youtube.com/channel/UCxNBIrM4Img_jfSSZ6RygGg")</f>
        <v>https://www.youtube.com/channel/UCxNBIrM4Img_jfSSZ6RygGg</v>
      </c>
      <c r="AU37" s="81">
        <v>4</v>
      </c>
      <c r="AV37" s="49">
        <v>0</v>
      </c>
      <c r="AW37" s="50">
        <v>0</v>
      </c>
      <c r="AX37" s="49">
        <v>1</v>
      </c>
      <c r="AY37" s="50">
        <v>4.761904761904762</v>
      </c>
      <c r="AZ37" s="49">
        <v>0</v>
      </c>
      <c r="BA37" s="50">
        <v>0</v>
      </c>
      <c r="BB37" s="49">
        <v>6</v>
      </c>
      <c r="BC37" s="50">
        <v>28.571428571428573</v>
      </c>
      <c r="BD37" s="49">
        <v>21</v>
      </c>
      <c r="BE37" s="49"/>
      <c r="BF37" s="49"/>
      <c r="BG37" s="49"/>
      <c r="BH37" s="49"/>
      <c r="BI37" s="49"/>
      <c r="BJ37" s="49"/>
      <c r="BK37" s="115" t="s">
        <v>1082</v>
      </c>
      <c r="BL37" s="115" t="s">
        <v>1082</v>
      </c>
      <c r="BM37" s="115" t="s">
        <v>1213</v>
      </c>
      <c r="BN37" s="115" t="s">
        <v>1213</v>
      </c>
      <c r="BO37" s="2"/>
      <c r="BP37" s="3"/>
      <c r="BQ37" s="3"/>
      <c r="BR37" s="3"/>
      <c r="BS37" s="3"/>
    </row>
    <row r="38" spans="1:71" ht="15">
      <c r="A38" s="66" t="s">
        <v>250</v>
      </c>
      <c r="B38" s="67"/>
      <c r="C38" s="67"/>
      <c r="D38" s="68">
        <v>150</v>
      </c>
      <c r="E38" s="70"/>
      <c r="F38" s="103" t="str">
        <f>HYPERLINK("https://yt3.ggpht.com/ytc/AOPolaStr38JuchsXP0x8dSPxH9xSOduOC3PL_ifvqZ5=s88-c-k-c0x00ffffff-no-rj")</f>
        <v>https://yt3.ggpht.com/ytc/AOPolaStr38JuchsXP0x8dSPxH9xSOduOC3PL_ifvqZ5=s88-c-k-c0x00ffffff-no-rj</v>
      </c>
      <c r="G38" s="67"/>
      <c r="H38" s="71" t="s">
        <v>575</v>
      </c>
      <c r="I38" s="72"/>
      <c r="J38" s="72" t="s">
        <v>159</v>
      </c>
      <c r="K38" s="71" t="s">
        <v>575</v>
      </c>
      <c r="L38" s="75">
        <v>1</v>
      </c>
      <c r="M38" s="76">
        <v>9653.1611328125</v>
      </c>
      <c r="N38" s="76">
        <v>6546.34765625</v>
      </c>
      <c r="O38" s="77"/>
      <c r="P38" s="78"/>
      <c r="Q38" s="78"/>
      <c r="R38" s="89"/>
      <c r="S38" s="49">
        <v>0</v>
      </c>
      <c r="T38" s="49">
        <v>1</v>
      </c>
      <c r="U38" s="50">
        <v>0</v>
      </c>
      <c r="V38" s="50">
        <v>0.018182</v>
      </c>
      <c r="W38" s="50">
        <v>0</v>
      </c>
      <c r="X38" s="50">
        <v>0.004895</v>
      </c>
      <c r="Y38" s="50">
        <v>0</v>
      </c>
      <c r="Z38" s="50">
        <v>0</v>
      </c>
      <c r="AA38" s="73">
        <v>38</v>
      </c>
      <c r="AB38" s="73"/>
      <c r="AC38" s="74"/>
      <c r="AD38" s="81" t="s">
        <v>575</v>
      </c>
      <c r="AE38" s="81" t="s">
        <v>814</v>
      </c>
      <c r="AF38" s="81"/>
      <c r="AG38" s="81"/>
      <c r="AH38" s="81"/>
      <c r="AI38" s="81" t="s">
        <v>905</v>
      </c>
      <c r="AJ38" s="85">
        <v>38830.86581018518</v>
      </c>
      <c r="AK38" s="83" t="str">
        <f>HYPERLINK("https://yt3.ggpht.com/ytc/AOPolaStr38JuchsXP0x8dSPxH9xSOduOC3PL_ifvqZ5=s88-c-k-c0x00ffffff-no-rj")</f>
        <v>https://yt3.ggpht.com/ytc/AOPolaStr38JuchsXP0x8dSPxH9xSOduOC3PL_ifvqZ5=s88-c-k-c0x00ffffff-no-rj</v>
      </c>
      <c r="AL38" s="81">
        <v>2335</v>
      </c>
      <c r="AM38" s="81">
        <v>0</v>
      </c>
      <c r="AN38" s="81">
        <v>63</v>
      </c>
      <c r="AO38" s="81" t="b">
        <v>0</v>
      </c>
      <c r="AP38" s="81">
        <v>20</v>
      </c>
      <c r="AQ38" s="81"/>
      <c r="AR38" s="81"/>
      <c r="AS38" s="81" t="s">
        <v>1057</v>
      </c>
      <c r="AT38" s="83" t="str">
        <f>HYPERLINK("https://www.youtube.com/channel/UCEVX4zX1f7L3kiW7NYJ3USw")</f>
        <v>https://www.youtube.com/channel/UCEVX4zX1f7L3kiW7NYJ3USw</v>
      </c>
      <c r="AU38" s="81">
        <v>4</v>
      </c>
      <c r="AV38" s="49">
        <v>1</v>
      </c>
      <c r="AW38" s="50">
        <v>5.882352941176471</v>
      </c>
      <c r="AX38" s="49">
        <v>0</v>
      </c>
      <c r="AY38" s="50">
        <v>0</v>
      </c>
      <c r="AZ38" s="49">
        <v>0</v>
      </c>
      <c r="BA38" s="50">
        <v>0</v>
      </c>
      <c r="BB38" s="49">
        <v>6</v>
      </c>
      <c r="BC38" s="50">
        <v>35.294117647058826</v>
      </c>
      <c r="BD38" s="49">
        <v>17</v>
      </c>
      <c r="BE38" s="49"/>
      <c r="BF38" s="49"/>
      <c r="BG38" s="49"/>
      <c r="BH38" s="49"/>
      <c r="BI38" s="49"/>
      <c r="BJ38" s="49"/>
      <c r="BK38" s="115" t="s">
        <v>1083</v>
      </c>
      <c r="BL38" s="115" t="s">
        <v>1083</v>
      </c>
      <c r="BM38" s="115" t="s">
        <v>1214</v>
      </c>
      <c r="BN38" s="115" t="s">
        <v>1214</v>
      </c>
      <c r="BO38" s="2"/>
      <c r="BP38" s="3"/>
      <c r="BQ38" s="3"/>
      <c r="BR38" s="3"/>
      <c r="BS38" s="3"/>
    </row>
    <row r="39" spans="1:71" ht="15">
      <c r="A39" s="66" t="s">
        <v>252</v>
      </c>
      <c r="B39" s="67"/>
      <c r="C39" s="67"/>
      <c r="D39" s="68">
        <v>150</v>
      </c>
      <c r="E39" s="70"/>
      <c r="F39" s="103" t="str">
        <f>HYPERLINK("https://yt3.ggpht.com/NayNoz6pIfMHzGygzRZmyXSaykIhgHWX-AzjOI3j-71Vk3einyj8lPMwIX8fvLsH89ZTj2Xfa0U=s88-c-k-c0x00ffffff-no-rj")</f>
        <v>https://yt3.ggpht.com/NayNoz6pIfMHzGygzRZmyXSaykIhgHWX-AzjOI3j-71Vk3einyj8lPMwIX8fvLsH89ZTj2Xfa0U=s88-c-k-c0x00ffffff-no-rj</v>
      </c>
      <c r="G39" s="67"/>
      <c r="H39" s="71" t="s">
        <v>576</v>
      </c>
      <c r="I39" s="72"/>
      <c r="J39" s="72" t="s">
        <v>159</v>
      </c>
      <c r="K39" s="71" t="s">
        <v>576</v>
      </c>
      <c r="L39" s="75">
        <v>1</v>
      </c>
      <c r="M39" s="76">
        <v>9113.5390625</v>
      </c>
      <c r="N39" s="76">
        <v>3452.65234375</v>
      </c>
      <c r="O39" s="77"/>
      <c r="P39" s="78"/>
      <c r="Q39" s="78"/>
      <c r="R39" s="89"/>
      <c r="S39" s="49">
        <v>0</v>
      </c>
      <c r="T39" s="49">
        <v>1</v>
      </c>
      <c r="U39" s="50">
        <v>0</v>
      </c>
      <c r="V39" s="50">
        <v>0.018182</v>
      </c>
      <c r="W39" s="50">
        <v>0</v>
      </c>
      <c r="X39" s="50">
        <v>0.004895</v>
      </c>
      <c r="Y39" s="50">
        <v>0</v>
      </c>
      <c r="Z39" s="50">
        <v>0</v>
      </c>
      <c r="AA39" s="73">
        <v>39</v>
      </c>
      <c r="AB39" s="73"/>
      <c r="AC39" s="74"/>
      <c r="AD39" s="81" t="s">
        <v>576</v>
      </c>
      <c r="AE39" s="81"/>
      <c r="AF39" s="81"/>
      <c r="AG39" s="81"/>
      <c r="AH39" s="81"/>
      <c r="AI39" s="81" t="s">
        <v>906</v>
      </c>
      <c r="AJ39" s="85">
        <v>44552.345659722225</v>
      </c>
      <c r="AK39" s="83" t="str">
        <f>HYPERLINK("https://yt3.ggpht.com/NayNoz6pIfMHzGygzRZmyXSaykIhgHWX-AzjOI3j-71Vk3einyj8lPMwIX8fvLsH89ZTj2Xfa0U=s88-c-k-c0x00ffffff-no-rj")</f>
        <v>https://yt3.ggpht.com/NayNoz6pIfMHzGygzRZmyXSaykIhgHWX-AzjOI3j-71Vk3einyj8lPMwIX8fvLsH89ZTj2Xfa0U=s88-c-k-c0x00ffffff-no-rj</v>
      </c>
      <c r="AL39" s="81">
        <v>0</v>
      </c>
      <c r="AM39" s="81">
        <v>0</v>
      </c>
      <c r="AN39" s="81">
        <v>0</v>
      </c>
      <c r="AO39" s="81" t="b">
        <v>0</v>
      </c>
      <c r="AP39" s="81">
        <v>0</v>
      </c>
      <c r="AQ39" s="81"/>
      <c r="AR39" s="81"/>
      <c r="AS39" s="81" t="s">
        <v>1057</v>
      </c>
      <c r="AT39" s="83" t="str">
        <f>HYPERLINK("https://www.youtube.com/channel/UCqdBowHTw_EPhxKTH8CFM8A")</f>
        <v>https://www.youtube.com/channel/UCqdBowHTw_EPhxKTH8CFM8A</v>
      </c>
      <c r="AU39" s="81">
        <v>4</v>
      </c>
      <c r="AV39" s="49">
        <v>0</v>
      </c>
      <c r="AW39" s="50">
        <v>0</v>
      </c>
      <c r="AX39" s="49">
        <v>1</v>
      </c>
      <c r="AY39" s="50">
        <v>20</v>
      </c>
      <c r="AZ39" s="49">
        <v>0</v>
      </c>
      <c r="BA39" s="50">
        <v>0</v>
      </c>
      <c r="BB39" s="49">
        <v>2</v>
      </c>
      <c r="BC39" s="50">
        <v>40</v>
      </c>
      <c r="BD39" s="49">
        <v>5</v>
      </c>
      <c r="BE39" s="49"/>
      <c r="BF39" s="49"/>
      <c r="BG39" s="49"/>
      <c r="BH39" s="49"/>
      <c r="BI39" s="49"/>
      <c r="BJ39" s="49"/>
      <c r="BK39" s="115" t="s">
        <v>1084</v>
      </c>
      <c r="BL39" s="115" t="s">
        <v>1084</v>
      </c>
      <c r="BM39" s="115" t="s">
        <v>1215</v>
      </c>
      <c r="BN39" s="115" t="s">
        <v>1215</v>
      </c>
      <c r="BO39" s="2"/>
      <c r="BP39" s="3"/>
      <c r="BQ39" s="3"/>
      <c r="BR39" s="3"/>
      <c r="BS39" s="3"/>
    </row>
    <row r="40" spans="1:71" ht="15">
      <c r="A40" s="66" t="s">
        <v>253</v>
      </c>
      <c r="B40" s="67"/>
      <c r="C40" s="67"/>
      <c r="D40" s="68">
        <v>150</v>
      </c>
      <c r="E40" s="70"/>
      <c r="F40" s="103" t="str">
        <f>HYPERLINK("https://yt3.ggpht.com/ytc/AOPolaRt0Q7gWXmCppb6rEwXVtUuSvpcs0aCicCAR69Ueg=s88-c-k-c0x00ffffff-no-rj")</f>
        <v>https://yt3.ggpht.com/ytc/AOPolaRt0Q7gWXmCppb6rEwXVtUuSvpcs0aCicCAR69Ueg=s88-c-k-c0x00ffffff-no-rj</v>
      </c>
      <c r="G40" s="67"/>
      <c r="H40" s="71" t="s">
        <v>577</v>
      </c>
      <c r="I40" s="72"/>
      <c r="J40" s="72" t="s">
        <v>159</v>
      </c>
      <c r="K40" s="71" t="s">
        <v>577</v>
      </c>
      <c r="L40" s="75">
        <v>1</v>
      </c>
      <c r="M40" s="76">
        <v>7278.99609375</v>
      </c>
      <c r="N40" s="76">
        <v>1081.070068359375</v>
      </c>
      <c r="O40" s="77"/>
      <c r="P40" s="78"/>
      <c r="Q40" s="78"/>
      <c r="R40" s="89"/>
      <c r="S40" s="49">
        <v>0</v>
      </c>
      <c r="T40" s="49">
        <v>1</v>
      </c>
      <c r="U40" s="50">
        <v>0</v>
      </c>
      <c r="V40" s="50">
        <v>0.007407</v>
      </c>
      <c r="W40" s="50">
        <v>0</v>
      </c>
      <c r="X40" s="50">
        <v>0.005023</v>
      </c>
      <c r="Y40" s="50">
        <v>0</v>
      </c>
      <c r="Z40" s="50">
        <v>0</v>
      </c>
      <c r="AA40" s="73">
        <v>40</v>
      </c>
      <c r="AB40" s="73"/>
      <c r="AC40" s="74"/>
      <c r="AD40" s="81" t="s">
        <v>577</v>
      </c>
      <c r="AE40" s="81" t="s">
        <v>815</v>
      </c>
      <c r="AF40" s="81"/>
      <c r="AG40" s="81"/>
      <c r="AH40" s="81"/>
      <c r="AI40" s="81" t="s">
        <v>907</v>
      </c>
      <c r="AJ40" s="85">
        <v>41378.95815972222</v>
      </c>
      <c r="AK40" s="83" t="str">
        <f>HYPERLINK("https://yt3.ggpht.com/ytc/AOPolaRt0Q7gWXmCppb6rEwXVtUuSvpcs0aCicCAR69Ueg=s88-c-k-c0x00ffffff-no-rj")</f>
        <v>https://yt3.ggpht.com/ytc/AOPolaRt0Q7gWXmCppb6rEwXVtUuSvpcs0aCicCAR69Ueg=s88-c-k-c0x00ffffff-no-rj</v>
      </c>
      <c r="AL40" s="81">
        <v>89</v>
      </c>
      <c r="AM40" s="81">
        <v>0</v>
      </c>
      <c r="AN40" s="81">
        <v>48</v>
      </c>
      <c r="AO40" s="81" t="b">
        <v>0</v>
      </c>
      <c r="AP40" s="81">
        <v>1</v>
      </c>
      <c r="AQ40" s="81"/>
      <c r="AR40" s="81"/>
      <c r="AS40" s="81" t="s">
        <v>1057</v>
      </c>
      <c r="AT40" s="83" t="str">
        <f>HYPERLINK("https://www.youtube.com/channel/UCAgmleS9wdeTBPjnZQWjFCw")</f>
        <v>https://www.youtube.com/channel/UCAgmleS9wdeTBPjnZQWjFCw</v>
      </c>
      <c r="AU40" s="81">
        <v>9</v>
      </c>
      <c r="AV40" s="49">
        <v>1</v>
      </c>
      <c r="AW40" s="50">
        <v>20</v>
      </c>
      <c r="AX40" s="49">
        <v>0</v>
      </c>
      <c r="AY40" s="50">
        <v>0</v>
      </c>
      <c r="AZ40" s="49">
        <v>0</v>
      </c>
      <c r="BA40" s="50">
        <v>0</v>
      </c>
      <c r="BB40" s="49">
        <v>2</v>
      </c>
      <c r="BC40" s="50">
        <v>40</v>
      </c>
      <c r="BD40" s="49">
        <v>5</v>
      </c>
      <c r="BE40" s="49"/>
      <c r="BF40" s="49"/>
      <c r="BG40" s="49"/>
      <c r="BH40" s="49"/>
      <c r="BI40" s="49"/>
      <c r="BJ40" s="49"/>
      <c r="BK40" s="115" t="s">
        <v>1085</v>
      </c>
      <c r="BL40" s="115" t="s">
        <v>1085</v>
      </c>
      <c r="BM40" s="115" t="s">
        <v>1216</v>
      </c>
      <c r="BN40" s="115" t="s">
        <v>1216</v>
      </c>
      <c r="BO40" s="2"/>
      <c r="BP40" s="3"/>
      <c r="BQ40" s="3"/>
      <c r="BR40" s="3"/>
      <c r="BS40" s="3"/>
    </row>
    <row r="41" spans="1:71" ht="15">
      <c r="A41" s="66" t="s">
        <v>255</v>
      </c>
      <c r="B41" s="67"/>
      <c r="C41" s="67"/>
      <c r="D41" s="68">
        <v>150</v>
      </c>
      <c r="E41" s="70"/>
      <c r="F41" s="103" t="str">
        <f>HYPERLINK("https://yt3.ggpht.com/A4AvrppeMRiQyaVu2JWyf8tV3bp6VktVkZ02f2ElCnIe9dQ1e329fDE1u9sFAhpTlzyZ_4VTgck=s88-c-k-c0x00ffffff-no-rj")</f>
        <v>https://yt3.ggpht.com/A4AvrppeMRiQyaVu2JWyf8tV3bp6VktVkZ02f2ElCnIe9dQ1e329fDE1u9sFAhpTlzyZ_4VTgck=s88-c-k-c0x00ffffff-no-rj</v>
      </c>
      <c r="G41" s="67"/>
      <c r="H41" s="71" t="s">
        <v>578</v>
      </c>
      <c r="I41" s="72"/>
      <c r="J41" s="72" t="s">
        <v>159</v>
      </c>
      <c r="K41" s="71" t="s">
        <v>578</v>
      </c>
      <c r="L41" s="75">
        <v>1</v>
      </c>
      <c r="M41" s="76">
        <v>7804.42138671875</v>
      </c>
      <c r="N41" s="76">
        <v>1081.070068359375</v>
      </c>
      <c r="O41" s="77"/>
      <c r="P41" s="78"/>
      <c r="Q41" s="78"/>
      <c r="R41" s="89"/>
      <c r="S41" s="49">
        <v>0</v>
      </c>
      <c r="T41" s="49">
        <v>1</v>
      </c>
      <c r="U41" s="50">
        <v>0</v>
      </c>
      <c r="V41" s="50">
        <v>0.007407</v>
      </c>
      <c r="W41" s="50">
        <v>0</v>
      </c>
      <c r="X41" s="50">
        <v>0.005023</v>
      </c>
      <c r="Y41" s="50">
        <v>0</v>
      </c>
      <c r="Z41" s="50">
        <v>0</v>
      </c>
      <c r="AA41" s="73">
        <v>41</v>
      </c>
      <c r="AB41" s="73"/>
      <c r="AC41" s="74"/>
      <c r="AD41" s="81" t="s">
        <v>578</v>
      </c>
      <c r="AE41" s="81" t="s">
        <v>817</v>
      </c>
      <c r="AF41" s="81"/>
      <c r="AG41" s="81"/>
      <c r="AH41" s="81"/>
      <c r="AI41" s="81" t="s">
        <v>909</v>
      </c>
      <c r="AJ41" s="85">
        <v>44040.01497685185</v>
      </c>
      <c r="AK41" s="83" t="str">
        <f>HYPERLINK("https://yt3.ggpht.com/A4AvrppeMRiQyaVu2JWyf8tV3bp6VktVkZ02f2ElCnIe9dQ1e329fDE1u9sFAhpTlzyZ_4VTgck=s88-c-k-c0x00ffffff-no-rj")</f>
        <v>https://yt3.ggpht.com/A4AvrppeMRiQyaVu2JWyf8tV3bp6VktVkZ02f2ElCnIe9dQ1e329fDE1u9sFAhpTlzyZ_4VTgck=s88-c-k-c0x00ffffff-no-rj</v>
      </c>
      <c r="AL41" s="81">
        <v>1633781</v>
      </c>
      <c r="AM41" s="81">
        <v>0</v>
      </c>
      <c r="AN41" s="81">
        <v>7480</v>
      </c>
      <c r="AO41" s="81" t="b">
        <v>0</v>
      </c>
      <c r="AP41" s="81">
        <v>260</v>
      </c>
      <c r="AQ41" s="81"/>
      <c r="AR41" s="81"/>
      <c r="AS41" s="81" t="s">
        <v>1057</v>
      </c>
      <c r="AT41" s="83" t="str">
        <f>HYPERLINK("https://www.youtube.com/channel/UC92bY3vyxakfwsWiDazd9_w")</f>
        <v>https://www.youtube.com/channel/UC92bY3vyxakfwsWiDazd9_w</v>
      </c>
      <c r="AU41" s="81">
        <v>9</v>
      </c>
      <c r="AV41" s="49">
        <v>1</v>
      </c>
      <c r="AW41" s="50">
        <v>33.333333333333336</v>
      </c>
      <c r="AX41" s="49">
        <v>0</v>
      </c>
      <c r="AY41" s="50">
        <v>0</v>
      </c>
      <c r="AZ41" s="49">
        <v>0</v>
      </c>
      <c r="BA41" s="50">
        <v>0</v>
      </c>
      <c r="BB41" s="49">
        <v>2</v>
      </c>
      <c r="BC41" s="50">
        <v>66.66666666666667</v>
      </c>
      <c r="BD41" s="49">
        <v>3</v>
      </c>
      <c r="BE41" s="49"/>
      <c r="BF41" s="49"/>
      <c r="BG41" s="49"/>
      <c r="BH41" s="49"/>
      <c r="BI41" s="49"/>
      <c r="BJ41" s="49"/>
      <c r="BK41" s="115" t="s">
        <v>1086</v>
      </c>
      <c r="BL41" s="115" t="s">
        <v>1086</v>
      </c>
      <c r="BM41" s="115" t="s">
        <v>1217</v>
      </c>
      <c r="BN41" s="115" t="s">
        <v>1217</v>
      </c>
      <c r="BO41" s="2"/>
      <c r="BP41" s="3"/>
      <c r="BQ41" s="3"/>
      <c r="BR41" s="3"/>
      <c r="BS41" s="3"/>
    </row>
    <row r="42" spans="1:71" ht="15">
      <c r="A42" s="66" t="s">
        <v>256</v>
      </c>
      <c r="B42" s="67"/>
      <c r="C42" s="67"/>
      <c r="D42" s="68">
        <v>150</v>
      </c>
      <c r="E42" s="70"/>
      <c r="F42" s="103" t="str">
        <f>HYPERLINK("https://yt3.ggpht.com/ytc/AOPolaQKije--mJhdgAaI-oe0StRqMvZ_vL-JGd2HnqT=s88-c-k-c0x00ffffff-no-rj")</f>
        <v>https://yt3.ggpht.com/ytc/AOPolaQKije--mJhdgAaI-oe0StRqMvZ_vL-JGd2HnqT=s88-c-k-c0x00ffffff-no-rj</v>
      </c>
      <c r="G42" s="67"/>
      <c r="H42" s="71" t="s">
        <v>579</v>
      </c>
      <c r="I42" s="72"/>
      <c r="J42" s="72" t="s">
        <v>159</v>
      </c>
      <c r="K42" s="71" t="s">
        <v>579</v>
      </c>
      <c r="L42" s="75">
        <v>1</v>
      </c>
      <c r="M42" s="76">
        <v>9579.7216796875</v>
      </c>
      <c r="N42" s="76">
        <v>2912.783447265625</v>
      </c>
      <c r="O42" s="77"/>
      <c r="P42" s="78"/>
      <c r="Q42" s="78"/>
      <c r="R42" s="89"/>
      <c r="S42" s="49">
        <v>0</v>
      </c>
      <c r="T42" s="49">
        <v>1</v>
      </c>
      <c r="U42" s="50">
        <v>0</v>
      </c>
      <c r="V42" s="50">
        <v>0.005556</v>
      </c>
      <c r="W42" s="50">
        <v>0</v>
      </c>
      <c r="X42" s="50">
        <v>0.005139</v>
      </c>
      <c r="Y42" s="50">
        <v>0</v>
      </c>
      <c r="Z42" s="50">
        <v>0</v>
      </c>
      <c r="AA42" s="73">
        <v>42</v>
      </c>
      <c r="AB42" s="73"/>
      <c r="AC42" s="74"/>
      <c r="AD42" s="81" t="s">
        <v>579</v>
      </c>
      <c r="AE42" s="81"/>
      <c r="AF42" s="81"/>
      <c r="AG42" s="81"/>
      <c r="AH42" s="81"/>
      <c r="AI42" s="81" t="s">
        <v>910</v>
      </c>
      <c r="AJ42" s="85">
        <v>42223.30596064815</v>
      </c>
      <c r="AK42" s="83" t="str">
        <f>HYPERLINK("https://yt3.ggpht.com/ytc/AOPolaQKije--mJhdgAaI-oe0StRqMvZ_vL-JGd2HnqT=s88-c-k-c0x00ffffff-no-rj")</f>
        <v>https://yt3.ggpht.com/ytc/AOPolaQKije--mJhdgAaI-oe0StRqMvZ_vL-JGd2HnqT=s88-c-k-c0x00ffffff-no-rj</v>
      </c>
      <c r="AL42" s="81">
        <v>0</v>
      </c>
      <c r="AM42" s="81">
        <v>0</v>
      </c>
      <c r="AN42" s="81">
        <v>2</v>
      </c>
      <c r="AO42" s="81" t="b">
        <v>0</v>
      </c>
      <c r="AP42" s="81">
        <v>0</v>
      </c>
      <c r="AQ42" s="81"/>
      <c r="AR42" s="81"/>
      <c r="AS42" s="81" t="s">
        <v>1057</v>
      </c>
      <c r="AT42" s="83" t="str">
        <f>HYPERLINK("https://www.youtube.com/channel/UCO0BUaDD-ICY6lt-yZSEW-A")</f>
        <v>https://www.youtube.com/channel/UCO0BUaDD-ICY6lt-yZSEW-A</v>
      </c>
      <c r="AU42" s="81">
        <v>12</v>
      </c>
      <c r="AV42" s="49">
        <v>1</v>
      </c>
      <c r="AW42" s="50">
        <v>14.285714285714286</v>
      </c>
      <c r="AX42" s="49">
        <v>0</v>
      </c>
      <c r="AY42" s="50">
        <v>0</v>
      </c>
      <c r="AZ42" s="49">
        <v>0</v>
      </c>
      <c r="BA42" s="50">
        <v>0</v>
      </c>
      <c r="BB42" s="49">
        <v>2</v>
      </c>
      <c r="BC42" s="50">
        <v>28.571428571428573</v>
      </c>
      <c r="BD42" s="49">
        <v>7</v>
      </c>
      <c r="BE42" s="49"/>
      <c r="BF42" s="49"/>
      <c r="BG42" s="49"/>
      <c r="BH42" s="49"/>
      <c r="BI42" s="49"/>
      <c r="BJ42" s="49"/>
      <c r="BK42" s="115" t="s">
        <v>1087</v>
      </c>
      <c r="BL42" s="115" t="s">
        <v>1087</v>
      </c>
      <c r="BM42" s="115" t="s">
        <v>1218</v>
      </c>
      <c r="BN42" s="115" t="s">
        <v>1218</v>
      </c>
      <c r="BO42" s="2"/>
      <c r="BP42" s="3"/>
      <c r="BQ42" s="3"/>
      <c r="BR42" s="3"/>
      <c r="BS42" s="3"/>
    </row>
    <row r="43" spans="1:71" ht="15">
      <c r="A43" s="66" t="s">
        <v>257</v>
      </c>
      <c r="B43" s="67"/>
      <c r="C43" s="67"/>
      <c r="D43" s="68">
        <v>150</v>
      </c>
      <c r="E43" s="70"/>
      <c r="F43" s="103" t="str">
        <f>HYPERLINK("https://yt3.ggpht.com/uH1_gH_VnfgvG4cCxkyFo_HE59oF7pxSu6Ga44RM2r_x1B1DsmXgBeED-V6sOZCTRmTdtOWs=s88-c-k-c0x00ffffff-no-rj")</f>
        <v>https://yt3.ggpht.com/uH1_gH_VnfgvG4cCxkyFo_HE59oF7pxSu6Ga44RM2r_x1B1DsmXgBeED-V6sOZCTRmTdtOWs=s88-c-k-c0x00ffffff-no-rj</v>
      </c>
      <c r="G43" s="67"/>
      <c r="H43" s="71" t="s">
        <v>771</v>
      </c>
      <c r="I43" s="72"/>
      <c r="J43" s="72" t="s">
        <v>159</v>
      </c>
      <c r="K43" s="71" t="s">
        <v>771</v>
      </c>
      <c r="L43" s="75">
        <v>1</v>
      </c>
      <c r="M43" s="76">
        <v>9579.7216796875</v>
      </c>
      <c r="N43" s="76">
        <v>2244.746826171875</v>
      </c>
      <c r="O43" s="77"/>
      <c r="P43" s="78"/>
      <c r="Q43" s="78"/>
      <c r="R43" s="89"/>
      <c r="S43" s="49">
        <v>2</v>
      </c>
      <c r="T43" s="49">
        <v>1</v>
      </c>
      <c r="U43" s="50">
        <v>0</v>
      </c>
      <c r="V43" s="50">
        <v>0.005556</v>
      </c>
      <c r="W43" s="50">
        <v>0</v>
      </c>
      <c r="X43" s="50">
        <v>0.00591</v>
      </c>
      <c r="Y43" s="50">
        <v>0</v>
      </c>
      <c r="Z43" s="50">
        <v>0</v>
      </c>
      <c r="AA43" s="73">
        <v>43</v>
      </c>
      <c r="AB43" s="73"/>
      <c r="AC43" s="74"/>
      <c r="AD43" s="81" t="s">
        <v>771</v>
      </c>
      <c r="AE43" s="81" t="s">
        <v>818</v>
      </c>
      <c r="AF43" s="81"/>
      <c r="AG43" s="81"/>
      <c r="AH43" s="81"/>
      <c r="AI43" s="81" t="s">
        <v>911</v>
      </c>
      <c r="AJ43" s="85">
        <v>40409.806226851855</v>
      </c>
      <c r="AK43" s="83" t="str">
        <f>HYPERLINK("https://yt3.ggpht.com/uH1_gH_VnfgvG4cCxkyFo_HE59oF7pxSu6Ga44RM2r_x1B1DsmXgBeED-V6sOZCTRmTdtOWs=s88-c-k-c0x00ffffff-no-rj")</f>
        <v>https://yt3.ggpht.com/uH1_gH_VnfgvG4cCxkyFo_HE59oF7pxSu6Ga44RM2r_x1B1DsmXgBeED-V6sOZCTRmTdtOWs=s88-c-k-c0x00ffffff-no-rj</v>
      </c>
      <c r="AL43" s="81">
        <v>1897930</v>
      </c>
      <c r="AM43" s="81">
        <v>0</v>
      </c>
      <c r="AN43" s="81">
        <v>8030</v>
      </c>
      <c r="AO43" s="81" t="b">
        <v>0</v>
      </c>
      <c r="AP43" s="81">
        <v>606</v>
      </c>
      <c r="AQ43" s="81"/>
      <c r="AR43" s="81"/>
      <c r="AS43" s="81" t="s">
        <v>1057</v>
      </c>
      <c r="AT43" s="83" t="str">
        <f>HYPERLINK("https://www.youtube.com/channel/UCYWwT1w9Yv2qpKChz9Hoomg")</f>
        <v>https://www.youtube.com/channel/UCYWwT1w9Yv2qpKChz9Hoomg</v>
      </c>
      <c r="AU43" s="81">
        <v>12</v>
      </c>
      <c r="AV43" s="49"/>
      <c r="AW43" s="50"/>
      <c r="AX43" s="49"/>
      <c r="AY43" s="50"/>
      <c r="AZ43" s="49"/>
      <c r="BA43" s="50"/>
      <c r="BB43" s="49"/>
      <c r="BC43" s="50"/>
      <c r="BD43" s="49"/>
      <c r="BE43" s="49"/>
      <c r="BF43" s="49"/>
      <c r="BG43" s="49"/>
      <c r="BH43" s="49"/>
      <c r="BI43" s="49"/>
      <c r="BJ43" s="49"/>
      <c r="BK43" s="115" t="s">
        <v>1634</v>
      </c>
      <c r="BL43" s="115" t="s">
        <v>1634</v>
      </c>
      <c r="BM43" s="115" t="s">
        <v>1634</v>
      </c>
      <c r="BN43" s="115" t="s">
        <v>1634</v>
      </c>
      <c r="BO43" s="2"/>
      <c r="BP43" s="3"/>
      <c r="BQ43" s="3"/>
      <c r="BR43" s="3"/>
      <c r="BS43" s="3"/>
    </row>
    <row r="44" spans="1:71" ht="15">
      <c r="A44" s="66" t="s">
        <v>258</v>
      </c>
      <c r="B44" s="67"/>
      <c r="C44" s="67"/>
      <c r="D44" s="68">
        <v>150</v>
      </c>
      <c r="E44" s="70"/>
      <c r="F44" s="103" t="str">
        <f>HYPERLINK("https://yt3.ggpht.com/ytc/AOPolaTiuCfRnh54648am0jtiaHYV6Y6OBChZ0RcxQ=s88-c-k-c0x00ffffff-no-rj")</f>
        <v>https://yt3.ggpht.com/ytc/AOPolaTiuCfRnh54648am0jtiaHYV6Y6OBChZ0RcxQ=s88-c-k-c0x00ffffff-no-rj</v>
      </c>
      <c r="G44" s="67"/>
      <c r="H44" s="71" t="s">
        <v>580</v>
      </c>
      <c r="I44" s="72"/>
      <c r="J44" s="72" t="s">
        <v>159</v>
      </c>
      <c r="K44" s="71" t="s">
        <v>580</v>
      </c>
      <c r="L44" s="75">
        <v>1</v>
      </c>
      <c r="M44" s="76">
        <v>9643.4091796875</v>
      </c>
      <c r="N44" s="76">
        <v>1361.2144775390625</v>
      </c>
      <c r="O44" s="77"/>
      <c r="P44" s="78"/>
      <c r="Q44" s="78"/>
      <c r="R44" s="89"/>
      <c r="S44" s="49">
        <v>0</v>
      </c>
      <c r="T44" s="49">
        <v>1</v>
      </c>
      <c r="U44" s="50">
        <v>0</v>
      </c>
      <c r="V44" s="50">
        <v>0.005556</v>
      </c>
      <c r="W44" s="50">
        <v>0</v>
      </c>
      <c r="X44" s="50">
        <v>0.005139</v>
      </c>
      <c r="Y44" s="50">
        <v>0</v>
      </c>
      <c r="Z44" s="50">
        <v>0</v>
      </c>
      <c r="AA44" s="73">
        <v>44</v>
      </c>
      <c r="AB44" s="73"/>
      <c r="AC44" s="74"/>
      <c r="AD44" s="81" t="s">
        <v>580</v>
      </c>
      <c r="AE44" s="81"/>
      <c r="AF44" s="81"/>
      <c r="AG44" s="81"/>
      <c r="AH44" s="81"/>
      <c r="AI44" s="81" t="s">
        <v>912</v>
      </c>
      <c r="AJ44" s="85">
        <v>43054.95490740741</v>
      </c>
      <c r="AK44" s="83" t="str">
        <f>HYPERLINK("https://yt3.ggpht.com/ytc/AOPolaTiuCfRnh54648am0jtiaHYV6Y6OBChZ0RcxQ=s88-c-k-c0x00ffffff-no-rj")</f>
        <v>https://yt3.ggpht.com/ytc/AOPolaTiuCfRnh54648am0jtiaHYV6Y6OBChZ0RcxQ=s88-c-k-c0x00ffffff-no-rj</v>
      </c>
      <c r="AL44" s="81">
        <v>0</v>
      </c>
      <c r="AM44" s="81">
        <v>0</v>
      </c>
      <c r="AN44" s="81">
        <v>1</v>
      </c>
      <c r="AO44" s="81" t="b">
        <v>0</v>
      </c>
      <c r="AP44" s="81">
        <v>0</v>
      </c>
      <c r="AQ44" s="81"/>
      <c r="AR44" s="81"/>
      <c r="AS44" s="81" t="s">
        <v>1057</v>
      </c>
      <c r="AT44" s="83" t="str">
        <f>HYPERLINK("https://www.youtube.com/channel/UCcUHc0sopUl3Zoi1otJP3lQ")</f>
        <v>https://www.youtube.com/channel/UCcUHc0sopUl3Zoi1otJP3lQ</v>
      </c>
      <c r="AU44" s="81">
        <v>11</v>
      </c>
      <c r="AV44" s="49">
        <v>1</v>
      </c>
      <c r="AW44" s="50">
        <v>20</v>
      </c>
      <c r="AX44" s="49">
        <v>0</v>
      </c>
      <c r="AY44" s="50">
        <v>0</v>
      </c>
      <c r="AZ44" s="49">
        <v>0</v>
      </c>
      <c r="BA44" s="50">
        <v>0</v>
      </c>
      <c r="BB44" s="49">
        <v>2</v>
      </c>
      <c r="BC44" s="50">
        <v>40</v>
      </c>
      <c r="BD44" s="49">
        <v>5</v>
      </c>
      <c r="BE44" s="49"/>
      <c r="BF44" s="49"/>
      <c r="BG44" s="49"/>
      <c r="BH44" s="49"/>
      <c r="BI44" s="49"/>
      <c r="BJ44" s="49"/>
      <c r="BK44" s="115" t="s">
        <v>1088</v>
      </c>
      <c r="BL44" s="115" t="s">
        <v>1088</v>
      </c>
      <c r="BM44" s="115" t="s">
        <v>1219</v>
      </c>
      <c r="BN44" s="115" t="s">
        <v>1219</v>
      </c>
      <c r="BO44" s="2"/>
      <c r="BP44" s="3"/>
      <c r="BQ44" s="3"/>
      <c r="BR44" s="3"/>
      <c r="BS44" s="3"/>
    </row>
    <row r="45" spans="1:71" ht="15">
      <c r="A45" s="66" t="s">
        <v>259</v>
      </c>
      <c r="B45" s="67"/>
      <c r="C45" s="67"/>
      <c r="D45" s="68">
        <v>150</v>
      </c>
      <c r="E45" s="70"/>
      <c r="F45" s="103" t="str">
        <f>HYPERLINK("https://yt3.ggpht.com/rkhSGGXLLbN8u_pCsO9QAgoHhY3NADeP28_sjnSLMEjGQBWuC4WYpawEHUQs3rnPyNmJ5TB4=s88-c-k-c0x00ffffff-no-rj")</f>
        <v>https://yt3.ggpht.com/rkhSGGXLLbN8u_pCsO9QAgoHhY3NADeP28_sjnSLMEjGQBWuC4WYpawEHUQs3rnPyNmJ5TB4=s88-c-k-c0x00ffffff-no-rj</v>
      </c>
      <c r="G45" s="67"/>
      <c r="H45" s="71" t="s">
        <v>772</v>
      </c>
      <c r="I45" s="72"/>
      <c r="J45" s="72" t="s">
        <v>159</v>
      </c>
      <c r="K45" s="71" t="s">
        <v>772</v>
      </c>
      <c r="L45" s="75">
        <v>1</v>
      </c>
      <c r="M45" s="76">
        <v>9643.4091796875</v>
      </c>
      <c r="N45" s="76">
        <v>549.5140380859375</v>
      </c>
      <c r="O45" s="77"/>
      <c r="P45" s="78"/>
      <c r="Q45" s="78"/>
      <c r="R45" s="89"/>
      <c r="S45" s="49">
        <v>2</v>
      </c>
      <c r="T45" s="49">
        <v>1</v>
      </c>
      <c r="U45" s="50">
        <v>0</v>
      </c>
      <c r="V45" s="50">
        <v>0.005556</v>
      </c>
      <c r="W45" s="50">
        <v>0</v>
      </c>
      <c r="X45" s="50">
        <v>0.00591</v>
      </c>
      <c r="Y45" s="50">
        <v>0</v>
      </c>
      <c r="Z45" s="50">
        <v>0</v>
      </c>
      <c r="AA45" s="73">
        <v>45</v>
      </c>
      <c r="AB45" s="73"/>
      <c r="AC45" s="74"/>
      <c r="AD45" s="81" t="s">
        <v>772</v>
      </c>
      <c r="AE45" s="81" t="s">
        <v>819</v>
      </c>
      <c r="AF45" s="81"/>
      <c r="AG45" s="81"/>
      <c r="AH45" s="81"/>
      <c r="AI45" s="81" t="s">
        <v>913</v>
      </c>
      <c r="AJ45" s="85">
        <v>42563.57634259259</v>
      </c>
      <c r="AK45" s="83" t="str">
        <f>HYPERLINK("https://yt3.ggpht.com/rkhSGGXLLbN8u_pCsO9QAgoHhY3NADeP28_sjnSLMEjGQBWuC4WYpawEHUQs3rnPyNmJ5TB4=s88-c-k-c0x00ffffff-no-rj")</f>
        <v>https://yt3.ggpht.com/rkhSGGXLLbN8u_pCsO9QAgoHhY3NADeP28_sjnSLMEjGQBWuC4WYpawEHUQs3rnPyNmJ5TB4=s88-c-k-c0x00ffffff-no-rj</v>
      </c>
      <c r="AL45" s="81">
        <v>109849852</v>
      </c>
      <c r="AM45" s="81">
        <v>0</v>
      </c>
      <c r="AN45" s="81">
        <v>391000</v>
      </c>
      <c r="AO45" s="81" t="b">
        <v>0</v>
      </c>
      <c r="AP45" s="81">
        <v>28342</v>
      </c>
      <c r="AQ45" s="81"/>
      <c r="AR45" s="81"/>
      <c r="AS45" s="81" t="s">
        <v>1057</v>
      </c>
      <c r="AT45" s="83" t="str">
        <f>HYPERLINK("https://www.youtube.com/channel/UCsL03z5sLvA0t8sjwDWf_3A")</f>
        <v>https://www.youtube.com/channel/UCsL03z5sLvA0t8sjwDWf_3A</v>
      </c>
      <c r="AU45" s="81">
        <v>11</v>
      </c>
      <c r="AV45" s="49"/>
      <c r="AW45" s="50"/>
      <c r="AX45" s="49"/>
      <c r="AY45" s="50"/>
      <c r="AZ45" s="49"/>
      <c r="BA45" s="50"/>
      <c r="BB45" s="49"/>
      <c r="BC45" s="50"/>
      <c r="BD45" s="49"/>
      <c r="BE45" s="49"/>
      <c r="BF45" s="49"/>
      <c r="BG45" s="49"/>
      <c r="BH45" s="49"/>
      <c r="BI45" s="49"/>
      <c r="BJ45" s="49"/>
      <c r="BK45" s="115" t="s">
        <v>1634</v>
      </c>
      <c r="BL45" s="115" t="s">
        <v>1634</v>
      </c>
      <c r="BM45" s="115" t="s">
        <v>1634</v>
      </c>
      <c r="BN45" s="115" t="s">
        <v>1634</v>
      </c>
      <c r="BO45" s="2"/>
      <c r="BP45" s="3"/>
      <c r="BQ45" s="3"/>
      <c r="BR45" s="3"/>
      <c r="BS45" s="3"/>
    </row>
    <row r="46" spans="1:71" ht="15">
      <c r="A46" s="66" t="s">
        <v>260</v>
      </c>
      <c r="B46" s="67"/>
      <c r="C46" s="67"/>
      <c r="D46" s="68">
        <v>150</v>
      </c>
      <c r="E46" s="70"/>
      <c r="F46" s="103" t="str">
        <f>HYPERLINK("https://yt3.ggpht.com/ytc/AOPolaRhMIJMYlw1yPvE_Ajy_RzKAGa0QY_yRQGPOT8_BiNHRE7RvRovCdrstTSFDA82=s88-c-k-c0x00ffffff-no-rj")</f>
        <v>https://yt3.ggpht.com/ytc/AOPolaRhMIJMYlw1yPvE_Ajy_RzKAGa0QY_yRQGPOT8_BiNHRE7RvRovCdrstTSFDA82=s88-c-k-c0x00ffffff-no-rj</v>
      </c>
      <c r="G46" s="67"/>
      <c r="H46" s="71" t="s">
        <v>581</v>
      </c>
      <c r="I46" s="72"/>
      <c r="J46" s="72" t="s">
        <v>159</v>
      </c>
      <c r="K46" s="71" t="s">
        <v>581</v>
      </c>
      <c r="L46" s="75">
        <v>1</v>
      </c>
      <c r="M46" s="76">
        <v>7836.62158203125</v>
      </c>
      <c r="N46" s="76">
        <v>5403.36669921875</v>
      </c>
      <c r="O46" s="77"/>
      <c r="P46" s="78"/>
      <c r="Q46" s="78"/>
      <c r="R46" s="89"/>
      <c r="S46" s="49">
        <v>0</v>
      </c>
      <c r="T46" s="49">
        <v>1</v>
      </c>
      <c r="U46" s="50">
        <v>0</v>
      </c>
      <c r="V46" s="50">
        <v>0.062532</v>
      </c>
      <c r="W46" s="50">
        <v>0</v>
      </c>
      <c r="X46" s="50">
        <v>0.004832</v>
      </c>
      <c r="Y46" s="50">
        <v>0</v>
      </c>
      <c r="Z46" s="50">
        <v>0</v>
      </c>
      <c r="AA46" s="73">
        <v>46</v>
      </c>
      <c r="AB46" s="73"/>
      <c r="AC46" s="74"/>
      <c r="AD46" s="81" t="s">
        <v>581</v>
      </c>
      <c r="AE46" s="81"/>
      <c r="AF46" s="81"/>
      <c r="AG46" s="81"/>
      <c r="AH46" s="81"/>
      <c r="AI46" s="81" t="s">
        <v>914</v>
      </c>
      <c r="AJ46" s="85">
        <v>42941.479409722226</v>
      </c>
      <c r="AK46" s="83" t="str">
        <f>HYPERLINK("https://yt3.ggpht.com/ytc/AOPolaRhMIJMYlw1yPvE_Ajy_RzKAGa0QY_yRQGPOT8_BiNHRE7RvRovCdrstTSFDA82=s88-c-k-c0x00ffffff-no-rj")</f>
        <v>https://yt3.ggpht.com/ytc/AOPolaRhMIJMYlw1yPvE_Ajy_RzKAGa0QY_yRQGPOT8_BiNHRE7RvRovCdrstTSFDA82=s88-c-k-c0x00ffffff-no-rj</v>
      </c>
      <c r="AL46" s="81">
        <v>0</v>
      </c>
      <c r="AM46" s="81">
        <v>0</v>
      </c>
      <c r="AN46" s="81">
        <v>1</v>
      </c>
      <c r="AO46" s="81" t="b">
        <v>0</v>
      </c>
      <c r="AP46" s="81">
        <v>0</v>
      </c>
      <c r="AQ46" s="81"/>
      <c r="AR46" s="81"/>
      <c r="AS46" s="81" t="s">
        <v>1057</v>
      </c>
      <c r="AT46" s="83" t="str">
        <f>HYPERLINK("https://www.youtube.com/channel/UCHaQIcmzy6_Hr4W8MuLtZoQ")</f>
        <v>https://www.youtube.com/channel/UCHaQIcmzy6_Hr4W8MuLtZoQ</v>
      </c>
      <c r="AU46" s="81">
        <v>3</v>
      </c>
      <c r="AV46" s="49">
        <v>0</v>
      </c>
      <c r="AW46" s="50">
        <v>0</v>
      </c>
      <c r="AX46" s="49">
        <v>1</v>
      </c>
      <c r="AY46" s="50">
        <v>9.090909090909092</v>
      </c>
      <c r="AZ46" s="49">
        <v>0</v>
      </c>
      <c r="BA46" s="50">
        <v>0</v>
      </c>
      <c r="BB46" s="49">
        <v>2</v>
      </c>
      <c r="BC46" s="50">
        <v>18.181818181818183</v>
      </c>
      <c r="BD46" s="49">
        <v>11</v>
      </c>
      <c r="BE46" s="49"/>
      <c r="BF46" s="49"/>
      <c r="BG46" s="49"/>
      <c r="BH46" s="49"/>
      <c r="BI46" s="49"/>
      <c r="BJ46" s="49"/>
      <c r="BK46" s="115" t="s">
        <v>1089</v>
      </c>
      <c r="BL46" s="115" t="s">
        <v>1089</v>
      </c>
      <c r="BM46" s="115" t="s">
        <v>1220</v>
      </c>
      <c r="BN46" s="115" t="s">
        <v>1220</v>
      </c>
      <c r="BO46" s="2"/>
      <c r="BP46" s="3"/>
      <c r="BQ46" s="3"/>
      <c r="BR46" s="3"/>
      <c r="BS46" s="3"/>
    </row>
    <row r="47" spans="1:71" ht="15">
      <c r="A47" s="66" t="s">
        <v>261</v>
      </c>
      <c r="B47" s="67"/>
      <c r="C47" s="67"/>
      <c r="D47" s="68">
        <v>150</v>
      </c>
      <c r="E47" s="70"/>
      <c r="F47" s="103" t="str">
        <f>HYPERLINK("https://yt3.ggpht.com/ytc/AOPolaTgnPK2fr6QmIp4OupVpmhhGPyhdB-9MqxjGA=s88-c-k-c0x00ffffff-no-rj")</f>
        <v>https://yt3.ggpht.com/ytc/AOPolaTgnPK2fr6QmIp4OupVpmhhGPyhdB-9MqxjGA=s88-c-k-c0x00ffffff-no-rj</v>
      </c>
      <c r="G47" s="67"/>
      <c r="H47" s="71" t="s">
        <v>582</v>
      </c>
      <c r="I47" s="72"/>
      <c r="J47" s="72" t="s">
        <v>159</v>
      </c>
      <c r="K47" s="71" t="s">
        <v>582</v>
      </c>
      <c r="L47" s="75">
        <v>1</v>
      </c>
      <c r="M47" s="76">
        <v>6975.41748046875</v>
      </c>
      <c r="N47" s="76">
        <v>5973.80712890625</v>
      </c>
      <c r="O47" s="77"/>
      <c r="P47" s="78"/>
      <c r="Q47" s="78"/>
      <c r="R47" s="89"/>
      <c r="S47" s="49">
        <v>0</v>
      </c>
      <c r="T47" s="49">
        <v>1</v>
      </c>
      <c r="U47" s="50">
        <v>0</v>
      </c>
      <c r="V47" s="50">
        <v>0.062532</v>
      </c>
      <c r="W47" s="50">
        <v>0</v>
      </c>
      <c r="X47" s="50">
        <v>0.004832</v>
      </c>
      <c r="Y47" s="50">
        <v>0</v>
      </c>
      <c r="Z47" s="50">
        <v>0</v>
      </c>
      <c r="AA47" s="73">
        <v>47</v>
      </c>
      <c r="AB47" s="73"/>
      <c r="AC47" s="74"/>
      <c r="AD47" s="81" t="s">
        <v>582</v>
      </c>
      <c r="AE47" s="81"/>
      <c r="AF47" s="81"/>
      <c r="AG47" s="81"/>
      <c r="AH47" s="81"/>
      <c r="AI47" s="81" t="s">
        <v>915</v>
      </c>
      <c r="AJ47" s="85">
        <v>41888.7733912037</v>
      </c>
      <c r="AK47" s="83" t="str">
        <f>HYPERLINK("https://yt3.ggpht.com/ytc/AOPolaTgnPK2fr6QmIp4OupVpmhhGPyhdB-9MqxjGA=s88-c-k-c0x00ffffff-no-rj")</f>
        <v>https://yt3.ggpht.com/ytc/AOPolaTgnPK2fr6QmIp4OupVpmhhGPyhdB-9MqxjGA=s88-c-k-c0x00ffffff-no-rj</v>
      </c>
      <c r="AL47" s="81">
        <v>0</v>
      </c>
      <c r="AM47" s="81">
        <v>0</v>
      </c>
      <c r="AN47" s="81">
        <v>0</v>
      </c>
      <c r="AO47" s="81" t="b">
        <v>0</v>
      </c>
      <c r="AP47" s="81">
        <v>0</v>
      </c>
      <c r="AQ47" s="81"/>
      <c r="AR47" s="81"/>
      <c r="AS47" s="81" t="s">
        <v>1057</v>
      </c>
      <c r="AT47" s="83" t="str">
        <f>HYPERLINK("https://www.youtube.com/channel/UC-4-LSPMEGXHZqGJNaXLnEw")</f>
        <v>https://www.youtube.com/channel/UC-4-LSPMEGXHZqGJNaXLnEw</v>
      </c>
      <c r="AU47" s="81">
        <v>3</v>
      </c>
      <c r="AV47" s="49">
        <v>0</v>
      </c>
      <c r="AW47" s="50">
        <v>0</v>
      </c>
      <c r="AX47" s="49">
        <v>0</v>
      </c>
      <c r="AY47" s="50">
        <v>0</v>
      </c>
      <c r="AZ47" s="49">
        <v>0</v>
      </c>
      <c r="BA47" s="50">
        <v>0</v>
      </c>
      <c r="BB47" s="49">
        <v>4</v>
      </c>
      <c r="BC47" s="50">
        <v>66.66666666666667</v>
      </c>
      <c r="BD47" s="49">
        <v>6</v>
      </c>
      <c r="BE47" s="49"/>
      <c r="BF47" s="49"/>
      <c r="BG47" s="49"/>
      <c r="BH47" s="49"/>
      <c r="BI47" s="49"/>
      <c r="BJ47" s="49"/>
      <c r="BK47" s="115" t="s">
        <v>1090</v>
      </c>
      <c r="BL47" s="115" t="s">
        <v>1090</v>
      </c>
      <c r="BM47" s="115" t="s">
        <v>1221</v>
      </c>
      <c r="BN47" s="115" t="s">
        <v>1221</v>
      </c>
      <c r="BO47" s="2"/>
      <c r="BP47" s="3"/>
      <c r="BQ47" s="3"/>
      <c r="BR47" s="3"/>
      <c r="BS47" s="3"/>
    </row>
    <row r="48" spans="1:71" ht="15">
      <c r="A48" s="66" t="s">
        <v>262</v>
      </c>
      <c r="B48" s="67"/>
      <c r="C48" s="67"/>
      <c r="D48" s="68">
        <v>150</v>
      </c>
      <c r="E48" s="70"/>
      <c r="F48" s="103" t="str">
        <f>HYPERLINK("https://yt3.ggpht.com/ytc/AOPolaQpSuiVH-MitJzrcKGdwbEP0stTOg7vsxgRCA=s88-c-k-c0x00ffffff-no-rj")</f>
        <v>https://yt3.ggpht.com/ytc/AOPolaQpSuiVH-MitJzrcKGdwbEP0stTOg7vsxgRCA=s88-c-k-c0x00ffffff-no-rj</v>
      </c>
      <c r="G48" s="67"/>
      <c r="H48" s="71" t="s">
        <v>583</v>
      </c>
      <c r="I48" s="72"/>
      <c r="J48" s="72" t="s">
        <v>159</v>
      </c>
      <c r="K48" s="71" t="s">
        <v>583</v>
      </c>
      <c r="L48" s="75">
        <v>1</v>
      </c>
      <c r="M48" s="76">
        <v>5959.7900390625</v>
      </c>
      <c r="N48" s="76">
        <v>6331.59912109375</v>
      </c>
      <c r="O48" s="77"/>
      <c r="P48" s="78"/>
      <c r="Q48" s="78"/>
      <c r="R48" s="89"/>
      <c r="S48" s="49">
        <v>0</v>
      </c>
      <c r="T48" s="49">
        <v>1</v>
      </c>
      <c r="U48" s="50">
        <v>0</v>
      </c>
      <c r="V48" s="50">
        <v>0.062532</v>
      </c>
      <c r="W48" s="50">
        <v>0</v>
      </c>
      <c r="X48" s="50">
        <v>0.004832</v>
      </c>
      <c r="Y48" s="50">
        <v>0</v>
      </c>
      <c r="Z48" s="50">
        <v>0</v>
      </c>
      <c r="AA48" s="73">
        <v>48</v>
      </c>
      <c r="AB48" s="73"/>
      <c r="AC48" s="74"/>
      <c r="AD48" s="81" t="s">
        <v>583</v>
      </c>
      <c r="AE48" s="81"/>
      <c r="AF48" s="81"/>
      <c r="AG48" s="81"/>
      <c r="AH48" s="81"/>
      <c r="AI48" s="81" t="s">
        <v>916</v>
      </c>
      <c r="AJ48" s="85">
        <v>43928.86460648148</v>
      </c>
      <c r="AK48" s="83" t="str">
        <f>HYPERLINK("https://yt3.ggpht.com/ytc/AOPolaQpSuiVH-MitJzrcKGdwbEP0stTOg7vsxgRCA=s88-c-k-c0x00ffffff-no-rj")</f>
        <v>https://yt3.ggpht.com/ytc/AOPolaQpSuiVH-MitJzrcKGdwbEP0stTOg7vsxgRCA=s88-c-k-c0x00ffffff-no-rj</v>
      </c>
      <c r="AL48" s="81">
        <v>13</v>
      </c>
      <c r="AM48" s="81">
        <v>0</v>
      </c>
      <c r="AN48" s="81">
        <v>3</v>
      </c>
      <c r="AO48" s="81" t="b">
        <v>0</v>
      </c>
      <c r="AP48" s="81">
        <v>1</v>
      </c>
      <c r="AQ48" s="81"/>
      <c r="AR48" s="81"/>
      <c r="AS48" s="81" t="s">
        <v>1057</v>
      </c>
      <c r="AT48" s="83" t="str">
        <f>HYPERLINK("https://www.youtube.com/channel/UCxvaRkdxJnvwqokP28A39Dw")</f>
        <v>https://www.youtube.com/channel/UCxvaRkdxJnvwqokP28A39Dw</v>
      </c>
      <c r="AU48" s="81">
        <v>3</v>
      </c>
      <c r="AV48" s="49">
        <v>0</v>
      </c>
      <c r="AW48" s="50">
        <v>0</v>
      </c>
      <c r="AX48" s="49">
        <v>2</v>
      </c>
      <c r="AY48" s="50">
        <v>9.090909090909092</v>
      </c>
      <c r="AZ48" s="49">
        <v>0</v>
      </c>
      <c r="BA48" s="50">
        <v>0</v>
      </c>
      <c r="BB48" s="49">
        <v>11</v>
      </c>
      <c r="BC48" s="50">
        <v>50</v>
      </c>
      <c r="BD48" s="49">
        <v>22</v>
      </c>
      <c r="BE48" s="49"/>
      <c r="BF48" s="49"/>
      <c r="BG48" s="49"/>
      <c r="BH48" s="49"/>
      <c r="BI48" s="49"/>
      <c r="BJ48" s="49"/>
      <c r="BK48" s="115" t="s">
        <v>1091</v>
      </c>
      <c r="BL48" s="115" t="s">
        <v>1091</v>
      </c>
      <c r="BM48" s="115" t="s">
        <v>1222</v>
      </c>
      <c r="BN48" s="115" t="s">
        <v>1222</v>
      </c>
      <c r="BO48" s="2"/>
      <c r="BP48" s="3"/>
      <c r="BQ48" s="3"/>
      <c r="BR48" s="3"/>
      <c r="BS48" s="3"/>
    </row>
    <row r="49" spans="1:71" ht="15">
      <c r="A49" s="66" t="s">
        <v>263</v>
      </c>
      <c r="B49" s="67"/>
      <c r="C49" s="67"/>
      <c r="D49" s="68">
        <v>150</v>
      </c>
      <c r="E49" s="70"/>
      <c r="F49" s="103" t="str">
        <f>HYPERLINK("https://yt3.ggpht.com/ytc/AOPolaR91MMia3nQQ7jWELye-iSnJ48oAUNE2bqvNRcsRBtO5g=s88-c-k-c0x00ffffff-no-rj")</f>
        <v>https://yt3.ggpht.com/ytc/AOPolaR91MMia3nQQ7jWELye-iSnJ48oAUNE2bqvNRcsRBtO5g=s88-c-k-c0x00ffffff-no-rj</v>
      </c>
      <c r="G49" s="67"/>
      <c r="H49" s="71" t="s">
        <v>584</v>
      </c>
      <c r="I49" s="72"/>
      <c r="J49" s="72" t="s">
        <v>159</v>
      </c>
      <c r="K49" s="71" t="s">
        <v>584</v>
      </c>
      <c r="L49" s="75">
        <v>1</v>
      </c>
      <c r="M49" s="76">
        <v>8181.43896484375</v>
      </c>
      <c r="N49" s="76">
        <v>3862.556396484375</v>
      </c>
      <c r="O49" s="77"/>
      <c r="P49" s="78"/>
      <c r="Q49" s="78"/>
      <c r="R49" s="89"/>
      <c r="S49" s="49">
        <v>0</v>
      </c>
      <c r="T49" s="49">
        <v>1</v>
      </c>
      <c r="U49" s="50">
        <v>0</v>
      </c>
      <c r="V49" s="50">
        <v>0.062532</v>
      </c>
      <c r="W49" s="50">
        <v>0</v>
      </c>
      <c r="X49" s="50">
        <v>0.004832</v>
      </c>
      <c r="Y49" s="50">
        <v>0</v>
      </c>
      <c r="Z49" s="50">
        <v>0</v>
      </c>
      <c r="AA49" s="73">
        <v>49</v>
      </c>
      <c r="AB49" s="73"/>
      <c r="AC49" s="74"/>
      <c r="AD49" s="81" t="s">
        <v>584</v>
      </c>
      <c r="AE49" s="81"/>
      <c r="AF49" s="81"/>
      <c r="AG49" s="81"/>
      <c r="AH49" s="81"/>
      <c r="AI49" s="81" t="s">
        <v>917</v>
      </c>
      <c r="AJ49" s="85">
        <v>44145.834340277775</v>
      </c>
      <c r="AK49" s="83" t="str">
        <f>HYPERLINK("https://yt3.ggpht.com/ytc/AOPolaR91MMia3nQQ7jWELye-iSnJ48oAUNE2bqvNRcsRBtO5g=s88-c-k-c0x00ffffff-no-rj")</f>
        <v>https://yt3.ggpht.com/ytc/AOPolaR91MMia3nQQ7jWELye-iSnJ48oAUNE2bqvNRcsRBtO5g=s88-c-k-c0x00ffffff-no-rj</v>
      </c>
      <c r="AL49" s="81">
        <v>0</v>
      </c>
      <c r="AM49" s="81">
        <v>0</v>
      </c>
      <c r="AN49" s="81">
        <v>0</v>
      </c>
      <c r="AO49" s="81" t="b">
        <v>0</v>
      </c>
      <c r="AP49" s="81">
        <v>0</v>
      </c>
      <c r="AQ49" s="81"/>
      <c r="AR49" s="81"/>
      <c r="AS49" s="81" t="s">
        <v>1057</v>
      </c>
      <c r="AT49" s="83" t="str">
        <f>HYPERLINK("https://www.youtube.com/channel/UC-bnCEG6CUesjPqM1UXPHJQ")</f>
        <v>https://www.youtube.com/channel/UC-bnCEG6CUesjPqM1UXPHJQ</v>
      </c>
      <c r="AU49" s="81">
        <v>3</v>
      </c>
      <c r="AV49" s="49">
        <v>1</v>
      </c>
      <c r="AW49" s="50">
        <v>2.4390243902439024</v>
      </c>
      <c r="AX49" s="49">
        <v>3</v>
      </c>
      <c r="AY49" s="50">
        <v>7.317073170731708</v>
      </c>
      <c r="AZ49" s="49">
        <v>0</v>
      </c>
      <c r="BA49" s="50">
        <v>0</v>
      </c>
      <c r="BB49" s="49">
        <v>14</v>
      </c>
      <c r="BC49" s="50">
        <v>34.146341463414636</v>
      </c>
      <c r="BD49" s="49">
        <v>41</v>
      </c>
      <c r="BE49" s="49"/>
      <c r="BF49" s="49"/>
      <c r="BG49" s="49"/>
      <c r="BH49" s="49"/>
      <c r="BI49" s="49"/>
      <c r="BJ49" s="49"/>
      <c r="BK49" s="115" t="s">
        <v>1092</v>
      </c>
      <c r="BL49" s="115" t="s">
        <v>1092</v>
      </c>
      <c r="BM49" s="115" t="s">
        <v>1223</v>
      </c>
      <c r="BN49" s="115" t="s">
        <v>1223</v>
      </c>
      <c r="BO49" s="2"/>
      <c r="BP49" s="3"/>
      <c r="BQ49" s="3"/>
      <c r="BR49" s="3"/>
      <c r="BS49" s="3"/>
    </row>
    <row r="50" spans="1:71" ht="15">
      <c r="A50" s="66" t="s">
        <v>264</v>
      </c>
      <c r="B50" s="67"/>
      <c r="C50" s="67"/>
      <c r="D50" s="68">
        <v>150</v>
      </c>
      <c r="E50" s="70"/>
      <c r="F50" s="103" t="str">
        <f>HYPERLINK("https://yt3.ggpht.com/ytc/AOPolaTM8g7ylnfu4kg60w52j-ksi8fec6ZxWmtxdA=s88-c-k-c0x00ffffff-no-rj")</f>
        <v>https://yt3.ggpht.com/ytc/AOPolaTM8g7ylnfu4kg60w52j-ksi8fec6ZxWmtxdA=s88-c-k-c0x00ffffff-no-rj</v>
      </c>
      <c r="G50" s="67"/>
      <c r="H50" s="71" t="s">
        <v>585</v>
      </c>
      <c r="I50" s="72"/>
      <c r="J50" s="72" t="s">
        <v>159</v>
      </c>
      <c r="K50" s="71" t="s">
        <v>585</v>
      </c>
      <c r="L50" s="75">
        <v>1</v>
      </c>
      <c r="M50" s="76">
        <v>8767.7001953125</v>
      </c>
      <c r="N50" s="76">
        <v>5359.521484375</v>
      </c>
      <c r="O50" s="77"/>
      <c r="P50" s="78"/>
      <c r="Q50" s="78"/>
      <c r="R50" s="89"/>
      <c r="S50" s="49">
        <v>0</v>
      </c>
      <c r="T50" s="49">
        <v>1</v>
      </c>
      <c r="U50" s="50">
        <v>0</v>
      </c>
      <c r="V50" s="50">
        <v>0.062532</v>
      </c>
      <c r="W50" s="50">
        <v>0</v>
      </c>
      <c r="X50" s="50">
        <v>0.004832</v>
      </c>
      <c r="Y50" s="50">
        <v>0</v>
      </c>
      <c r="Z50" s="50">
        <v>0</v>
      </c>
      <c r="AA50" s="73">
        <v>50</v>
      </c>
      <c r="AB50" s="73"/>
      <c r="AC50" s="74"/>
      <c r="AD50" s="81" t="s">
        <v>585</v>
      </c>
      <c r="AE50" s="81"/>
      <c r="AF50" s="81"/>
      <c r="AG50" s="81"/>
      <c r="AH50" s="81"/>
      <c r="AI50" s="81" t="s">
        <v>918</v>
      </c>
      <c r="AJ50" s="85">
        <v>41794.09327546296</v>
      </c>
      <c r="AK50" s="83" t="str">
        <f>HYPERLINK("https://yt3.ggpht.com/ytc/AOPolaTM8g7ylnfu4kg60w52j-ksi8fec6ZxWmtxdA=s88-c-k-c0x00ffffff-no-rj")</f>
        <v>https://yt3.ggpht.com/ytc/AOPolaTM8g7ylnfu4kg60w52j-ksi8fec6ZxWmtxdA=s88-c-k-c0x00ffffff-no-rj</v>
      </c>
      <c r="AL50" s="81">
        <v>0</v>
      </c>
      <c r="AM50" s="81">
        <v>0</v>
      </c>
      <c r="AN50" s="81">
        <v>4</v>
      </c>
      <c r="AO50" s="81" t="b">
        <v>0</v>
      </c>
      <c r="AP50" s="81">
        <v>0</v>
      </c>
      <c r="AQ50" s="81"/>
      <c r="AR50" s="81"/>
      <c r="AS50" s="81" t="s">
        <v>1057</v>
      </c>
      <c r="AT50" s="83" t="str">
        <f>HYPERLINK("https://www.youtube.com/channel/UCUkS5FumCzDHdGu3JVnej8Q")</f>
        <v>https://www.youtube.com/channel/UCUkS5FumCzDHdGu3JVnej8Q</v>
      </c>
      <c r="AU50" s="81">
        <v>3</v>
      </c>
      <c r="AV50" s="49">
        <v>0</v>
      </c>
      <c r="AW50" s="50">
        <v>0</v>
      </c>
      <c r="AX50" s="49">
        <v>0</v>
      </c>
      <c r="AY50" s="50">
        <v>0</v>
      </c>
      <c r="AZ50" s="49">
        <v>0</v>
      </c>
      <c r="BA50" s="50">
        <v>0</v>
      </c>
      <c r="BB50" s="49">
        <v>5</v>
      </c>
      <c r="BC50" s="50">
        <v>41.666666666666664</v>
      </c>
      <c r="BD50" s="49">
        <v>12</v>
      </c>
      <c r="BE50" s="49"/>
      <c r="BF50" s="49"/>
      <c r="BG50" s="49"/>
      <c r="BH50" s="49"/>
      <c r="BI50" s="49"/>
      <c r="BJ50" s="49"/>
      <c r="BK50" s="115" t="s">
        <v>1093</v>
      </c>
      <c r="BL50" s="115" t="s">
        <v>1093</v>
      </c>
      <c r="BM50" s="115" t="s">
        <v>1224</v>
      </c>
      <c r="BN50" s="115" t="s">
        <v>1224</v>
      </c>
      <c r="BO50" s="2"/>
      <c r="BP50" s="3"/>
      <c r="BQ50" s="3"/>
      <c r="BR50" s="3"/>
      <c r="BS50" s="3"/>
    </row>
    <row r="51" spans="1:71" ht="15">
      <c r="A51" s="66" t="s">
        <v>266</v>
      </c>
      <c r="B51" s="67"/>
      <c r="C51" s="67"/>
      <c r="D51" s="68">
        <v>150</v>
      </c>
      <c r="E51" s="70"/>
      <c r="F51" s="103" t="str">
        <f>HYPERLINK("https://yt3.ggpht.com/ytc/AOPolaTCDzztU9wxnkHUlOk8KzATb6qHw1DT0a8IcSxLIpuYEKOfTYJgA6lRWZL4piPQ=s88-c-k-c0x00ffffff-no-rj")</f>
        <v>https://yt3.ggpht.com/ytc/AOPolaTCDzztU9wxnkHUlOk8KzATb6qHw1DT0a8IcSxLIpuYEKOfTYJgA6lRWZL4piPQ=s88-c-k-c0x00ffffff-no-rj</v>
      </c>
      <c r="G51" s="67"/>
      <c r="H51" s="71" t="s">
        <v>586</v>
      </c>
      <c r="I51" s="72"/>
      <c r="J51" s="72" t="s">
        <v>159</v>
      </c>
      <c r="K51" s="71" t="s">
        <v>586</v>
      </c>
      <c r="L51" s="75">
        <v>1</v>
      </c>
      <c r="M51" s="76">
        <v>7487.37060546875</v>
      </c>
      <c r="N51" s="76">
        <v>4367.91015625</v>
      </c>
      <c r="O51" s="77"/>
      <c r="P51" s="78"/>
      <c r="Q51" s="78"/>
      <c r="R51" s="89"/>
      <c r="S51" s="49">
        <v>0</v>
      </c>
      <c r="T51" s="49">
        <v>1</v>
      </c>
      <c r="U51" s="50">
        <v>0</v>
      </c>
      <c r="V51" s="50">
        <v>0.062532</v>
      </c>
      <c r="W51" s="50">
        <v>0</v>
      </c>
      <c r="X51" s="50">
        <v>0.004832</v>
      </c>
      <c r="Y51" s="50">
        <v>0</v>
      </c>
      <c r="Z51" s="50">
        <v>0</v>
      </c>
      <c r="AA51" s="73">
        <v>51</v>
      </c>
      <c r="AB51" s="73"/>
      <c r="AC51" s="74"/>
      <c r="AD51" s="81" t="s">
        <v>586</v>
      </c>
      <c r="AE51" s="81"/>
      <c r="AF51" s="81"/>
      <c r="AG51" s="81"/>
      <c r="AH51" s="81"/>
      <c r="AI51" s="81" t="s">
        <v>919</v>
      </c>
      <c r="AJ51" s="85">
        <v>44547.61898148148</v>
      </c>
      <c r="AK51" s="83" t="str">
        <f>HYPERLINK("https://yt3.ggpht.com/ytc/AOPolaTCDzztU9wxnkHUlOk8KzATb6qHw1DT0a8IcSxLIpuYEKOfTYJgA6lRWZL4piPQ=s88-c-k-c0x00ffffff-no-rj")</f>
        <v>https://yt3.ggpht.com/ytc/AOPolaTCDzztU9wxnkHUlOk8KzATb6qHw1DT0a8IcSxLIpuYEKOfTYJgA6lRWZL4piPQ=s88-c-k-c0x00ffffff-no-rj</v>
      </c>
      <c r="AL51" s="81">
        <v>0</v>
      </c>
      <c r="AM51" s="81">
        <v>0</v>
      </c>
      <c r="AN51" s="81">
        <v>0</v>
      </c>
      <c r="AO51" s="81" t="b">
        <v>0</v>
      </c>
      <c r="AP51" s="81">
        <v>0</v>
      </c>
      <c r="AQ51" s="81"/>
      <c r="AR51" s="81"/>
      <c r="AS51" s="81" t="s">
        <v>1057</v>
      </c>
      <c r="AT51" s="83" t="str">
        <f>HYPERLINK("https://www.youtube.com/channel/UC7z436f18FU7J14H1xj2L4g")</f>
        <v>https://www.youtube.com/channel/UC7z436f18FU7J14H1xj2L4g</v>
      </c>
      <c r="AU51" s="81">
        <v>3</v>
      </c>
      <c r="AV51" s="49">
        <v>0</v>
      </c>
      <c r="AW51" s="50">
        <v>0</v>
      </c>
      <c r="AX51" s="49">
        <v>4</v>
      </c>
      <c r="AY51" s="50">
        <v>30.76923076923077</v>
      </c>
      <c r="AZ51" s="49">
        <v>0</v>
      </c>
      <c r="BA51" s="50">
        <v>0</v>
      </c>
      <c r="BB51" s="49">
        <v>3</v>
      </c>
      <c r="BC51" s="50">
        <v>23.076923076923077</v>
      </c>
      <c r="BD51" s="49">
        <v>13</v>
      </c>
      <c r="BE51" s="49"/>
      <c r="BF51" s="49"/>
      <c r="BG51" s="49"/>
      <c r="BH51" s="49"/>
      <c r="BI51" s="49"/>
      <c r="BJ51" s="49"/>
      <c r="BK51" s="115" t="s">
        <v>1094</v>
      </c>
      <c r="BL51" s="115" t="s">
        <v>1094</v>
      </c>
      <c r="BM51" s="115" t="s">
        <v>1225</v>
      </c>
      <c r="BN51" s="115" t="s">
        <v>1225</v>
      </c>
      <c r="BO51" s="2"/>
      <c r="BP51" s="3"/>
      <c r="BQ51" s="3"/>
      <c r="BR51" s="3"/>
      <c r="BS51" s="3"/>
    </row>
    <row r="52" spans="1:71" ht="15">
      <c r="A52" s="66" t="s">
        <v>267</v>
      </c>
      <c r="B52" s="67"/>
      <c r="C52" s="67"/>
      <c r="D52" s="68">
        <v>150</v>
      </c>
      <c r="E52" s="70"/>
      <c r="F52" s="103" t="str">
        <f>HYPERLINK("https://yt3.ggpht.com/ytc/AOPolaRg6b4ErLlse9vRbluzpoAyNQZdk3WioqIjeF-Ktw=s88-c-k-c0x00ffffff-no-rj")</f>
        <v>https://yt3.ggpht.com/ytc/AOPolaRg6b4ErLlse9vRbluzpoAyNQZdk3WioqIjeF-Ktw=s88-c-k-c0x00ffffff-no-rj</v>
      </c>
      <c r="G52" s="67"/>
      <c r="H52" s="71" t="s">
        <v>587</v>
      </c>
      <c r="I52" s="72"/>
      <c r="J52" s="72" t="s">
        <v>159</v>
      </c>
      <c r="K52" s="71" t="s">
        <v>587</v>
      </c>
      <c r="L52" s="75">
        <v>1</v>
      </c>
      <c r="M52" s="76">
        <v>5380.0732421875</v>
      </c>
      <c r="N52" s="76">
        <v>190.13882446289062</v>
      </c>
      <c r="O52" s="77"/>
      <c r="P52" s="78"/>
      <c r="Q52" s="78"/>
      <c r="R52" s="89"/>
      <c r="S52" s="49">
        <v>0</v>
      </c>
      <c r="T52" s="49">
        <v>1</v>
      </c>
      <c r="U52" s="50">
        <v>0</v>
      </c>
      <c r="V52" s="50">
        <v>0.012698</v>
      </c>
      <c r="W52" s="50">
        <v>0</v>
      </c>
      <c r="X52" s="50">
        <v>0.004933</v>
      </c>
      <c r="Y52" s="50">
        <v>0</v>
      </c>
      <c r="Z52" s="50">
        <v>0</v>
      </c>
      <c r="AA52" s="73">
        <v>52</v>
      </c>
      <c r="AB52" s="73"/>
      <c r="AC52" s="74"/>
      <c r="AD52" s="81" t="s">
        <v>587</v>
      </c>
      <c r="AE52" s="81"/>
      <c r="AF52" s="81"/>
      <c r="AG52" s="81"/>
      <c r="AH52" s="81"/>
      <c r="AI52" s="81" t="s">
        <v>920</v>
      </c>
      <c r="AJ52" s="85">
        <v>42913.87997685185</v>
      </c>
      <c r="AK52" s="83" t="str">
        <f>HYPERLINK("https://yt3.ggpht.com/ytc/AOPolaRg6b4ErLlse9vRbluzpoAyNQZdk3WioqIjeF-Ktw=s88-c-k-c0x00ffffff-no-rj")</f>
        <v>https://yt3.ggpht.com/ytc/AOPolaRg6b4ErLlse9vRbluzpoAyNQZdk3WioqIjeF-Ktw=s88-c-k-c0x00ffffff-no-rj</v>
      </c>
      <c r="AL52" s="81">
        <v>0</v>
      </c>
      <c r="AM52" s="81">
        <v>0</v>
      </c>
      <c r="AN52" s="81">
        <v>0</v>
      </c>
      <c r="AO52" s="81" t="b">
        <v>0</v>
      </c>
      <c r="AP52" s="81">
        <v>0</v>
      </c>
      <c r="AQ52" s="81"/>
      <c r="AR52" s="81"/>
      <c r="AS52" s="81" t="s">
        <v>1057</v>
      </c>
      <c r="AT52" s="83" t="str">
        <f>HYPERLINK("https://www.youtube.com/channel/UCBxcAy_pS-jN5Q7vvVissXg")</f>
        <v>https://www.youtube.com/channel/UCBxcAy_pS-jN5Q7vvVissXg</v>
      </c>
      <c r="AU52" s="81">
        <v>6</v>
      </c>
      <c r="AV52" s="49">
        <v>0</v>
      </c>
      <c r="AW52" s="50">
        <v>0</v>
      </c>
      <c r="AX52" s="49">
        <v>0</v>
      </c>
      <c r="AY52" s="50">
        <v>0</v>
      </c>
      <c r="AZ52" s="49">
        <v>0</v>
      </c>
      <c r="BA52" s="50">
        <v>0</v>
      </c>
      <c r="BB52" s="49">
        <v>3</v>
      </c>
      <c r="BC52" s="50">
        <v>33.333333333333336</v>
      </c>
      <c r="BD52" s="49">
        <v>9</v>
      </c>
      <c r="BE52" s="49"/>
      <c r="BF52" s="49"/>
      <c r="BG52" s="49"/>
      <c r="BH52" s="49"/>
      <c r="BI52" s="49"/>
      <c r="BJ52" s="49"/>
      <c r="BK52" s="115" t="s">
        <v>1095</v>
      </c>
      <c r="BL52" s="115" t="s">
        <v>1095</v>
      </c>
      <c r="BM52" s="115" t="s">
        <v>1226</v>
      </c>
      <c r="BN52" s="115" t="s">
        <v>1226</v>
      </c>
      <c r="BO52" s="2"/>
      <c r="BP52" s="3"/>
      <c r="BQ52" s="3"/>
      <c r="BR52" s="3"/>
      <c r="BS52" s="3"/>
    </row>
    <row r="53" spans="1:71" ht="15">
      <c r="A53" s="66" t="s">
        <v>268</v>
      </c>
      <c r="B53" s="67"/>
      <c r="C53" s="67"/>
      <c r="D53" s="68">
        <v>150</v>
      </c>
      <c r="E53" s="70"/>
      <c r="F53" s="103" t="str">
        <f>HYPERLINK("https://yt3.ggpht.com/n5UmPq5VB_vIcIRT-JgABDxYlQk477agBZN-9xTMsIvWt8tW1yBYRwgzQ-Opx9RVjN0YCsb9Bg=s88-c-k-c0x00ffffff-no-rj")</f>
        <v>https://yt3.ggpht.com/n5UmPq5VB_vIcIRT-JgABDxYlQk477agBZN-9xTMsIvWt8tW1yBYRwgzQ-Opx9RVjN0YCsb9Bg=s88-c-k-c0x00ffffff-no-rj</v>
      </c>
      <c r="G53" s="67"/>
      <c r="H53" s="71" t="s">
        <v>588</v>
      </c>
      <c r="I53" s="72"/>
      <c r="J53" s="72" t="s">
        <v>159</v>
      </c>
      <c r="K53" s="71" t="s">
        <v>588</v>
      </c>
      <c r="L53" s="75">
        <v>1</v>
      </c>
      <c r="M53" s="76">
        <v>5190.5634765625</v>
      </c>
      <c r="N53" s="76">
        <v>1332.4921875</v>
      </c>
      <c r="O53" s="77"/>
      <c r="P53" s="78"/>
      <c r="Q53" s="78"/>
      <c r="R53" s="89"/>
      <c r="S53" s="49">
        <v>0</v>
      </c>
      <c r="T53" s="49">
        <v>1</v>
      </c>
      <c r="U53" s="50">
        <v>0</v>
      </c>
      <c r="V53" s="50">
        <v>0.012698</v>
      </c>
      <c r="W53" s="50">
        <v>0</v>
      </c>
      <c r="X53" s="50">
        <v>0.004933</v>
      </c>
      <c r="Y53" s="50">
        <v>0</v>
      </c>
      <c r="Z53" s="50">
        <v>0</v>
      </c>
      <c r="AA53" s="73">
        <v>53</v>
      </c>
      <c r="AB53" s="73"/>
      <c r="AC53" s="74"/>
      <c r="AD53" s="81" t="s">
        <v>588</v>
      </c>
      <c r="AE53" s="81"/>
      <c r="AF53" s="81"/>
      <c r="AG53" s="81"/>
      <c r="AH53" s="81"/>
      <c r="AI53" s="81" t="s">
        <v>922</v>
      </c>
      <c r="AJ53" s="85">
        <v>40995.85165509259</v>
      </c>
      <c r="AK53" s="83" t="str">
        <f>HYPERLINK("https://yt3.ggpht.com/n5UmPq5VB_vIcIRT-JgABDxYlQk477agBZN-9xTMsIvWt8tW1yBYRwgzQ-Opx9RVjN0YCsb9Bg=s88-c-k-c0x00ffffff-no-rj")</f>
        <v>https://yt3.ggpht.com/n5UmPq5VB_vIcIRT-JgABDxYlQk477agBZN-9xTMsIvWt8tW1yBYRwgzQ-Opx9RVjN0YCsb9Bg=s88-c-k-c0x00ffffff-no-rj</v>
      </c>
      <c r="AL53" s="81">
        <v>0</v>
      </c>
      <c r="AM53" s="81">
        <v>0</v>
      </c>
      <c r="AN53" s="81">
        <v>2</v>
      </c>
      <c r="AO53" s="81" t="b">
        <v>0</v>
      </c>
      <c r="AP53" s="81">
        <v>0</v>
      </c>
      <c r="AQ53" s="81"/>
      <c r="AR53" s="81"/>
      <c r="AS53" s="81" t="s">
        <v>1057</v>
      </c>
      <c r="AT53" s="83" t="str">
        <f>HYPERLINK("https://www.youtube.com/channel/UCixMKBGxWZb9QzO3C-8ZUcg")</f>
        <v>https://www.youtube.com/channel/UCixMKBGxWZb9QzO3C-8ZUcg</v>
      </c>
      <c r="AU53" s="81">
        <v>6</v>
      </c>
      <c r="AV53" s="49">
        <v>0</v>
      </c>
      <c r="AW53" s="50">
        <v>0</v>
      </c>
      <c r="AX53" s="49">
        <v>0</v>
      </c>
      <c r="AY53" s="50">
        <v>0</v>
      </c>
      <c r="AZ53" s="49">
        <v>0</v>
      </c>
      <c r="BA53" s="50">
        <v>0</v>
      </c>
      <c r="BB53" s="49">
        <v>9</v>
      </c>
      <c r="BC53" s="50">
        <v>69.23076923076923</v>
      </c>
      <c r="BD53" s="49">
        <v>13</v>
      </c>
      <c r="BE53" s="49"/>
      <c r="BF53" s="49"/>
      <c r="BG53" s="49"/>
      <c r="BH53" s="49"/>
      <c r="BI53" s="49"/>
      <c r="BJ53" s="49"/>
      <c r="BK53" s="115" t="s">
        <v>1097</v>
      </c>
      <c r="BL53" s="115" t="s">
        <v>1097</v>
      </c>
      <c r="BM53" s="115" t="s">
        <v>1228</v>
      </c>
      <c r="BN53" s="115" t="s">
        <v>1228</v>
      </c>
      <c r="BO53" s="2"/>
      <c r="BP53" s="3"/>
      <c r="BQ53" s="3"/>
      <c r="BR53" s="3"/>
      <c r="BS53" s="3"/>
    </row>
    <row r="54" spans="1:71" ht="15">
      <c r="A54" s="66" t="s">
        <v>269</v>
      </c>
      <c r="B54" s="67"/>
      <c r="C54" s="67"/>
      <c r="D54" s="68">
        <v>150</v>
      </c>
      <c r="E54" s="70"/>
      <c r="F54" s="103" t="str">
        <f>HYPERLINK("https://yt3.ggpht.com/ytc/AOPolaQhI2_E9oexDbHMkggXCUDLpFTYJ4q2Fcqfzg=s88-c-k-c0x00ffffff-no-rj")</f>
        <v>https://yt3.ggpht.com/ytc/AOPolaQhI2_E9oexDbHMkggXCUDLpFTYJ4q2Fcqfzg=s88-c-k-c0x00ffffff-no-rj</v>
      </c>
      <c r="G54" s="67"/>
      <c r="H54" s="71" t="s">
        <v>589</v>
      </c>
      <c r="I54" s="72"/>
      <c r="J54" s="72" t="s">
        <v>159</v>
      </c>
      <c r="K54" s="71" t="s">
        <v>589</v>
      </c>
      <c r="L54" s="75">
        <v>1</v>
      </c>
      <c r="M54" s="76">
        <v>6720.6279296875</v>
      </c>
      <c r="N54" s="76">
        <v>1479.737060546875</v>
      </c>
      <c r="O54" s="77"/>
      <c r="P54" s="78"/>
      <c r="Q54" s="78"/>
      <c r="R54" s="89"/>
      <c r="S54" s="49">
        <v>0</v>
      </c>
      <c r="T54" s="49">
        <v>1</v>
      </c>
      <c r="U54" s="50">
        <v>0</v>
      </c>
      <c r="V54" s="50">
        <v>0.012698</v>
      </c>
      <c r="W54" s="50">
        <v>0</v>
      </c>
      <c r="X54" s="50">
        <v>0.004933</v>
      </c>
      <c r="Y54" s="50">
        <v>0</v>
      </c>
      <c r="Z54" s="50">
        <v>0</v>
      </c>
      <c r="AA54" s="73">
        <v>54</v>
      </c>
      <c r="AB54" s="73"/>
      <c r="AC54" s="74"/>
      <c r="AD54" s="81" t="s">
        <v>589</v>
      </c>
      <c r="AE54" s="81"/>
      <c r="AF54" s="81"/>
      <c r="AG54" s="81"/>
      <c r="AH54" s="81"/>
      <c r="AI54" s="81" t="s">
        <v>923</v>
      </c>
      <c r="AJ54" s="85">
        <v>40740.81103009259</v>
      </c>
      <c r="AK54" s="83" t="str">
        <f>HYPERLINK("https://yt3.ggpht.com/ytc/AOPolaQhI2_E9oexDbHMkggXCUDLpFTYJ4q2Fcqfzg=s88-c-k-c0x00ffffff-no-rj")</f>
        <v>https://yt3.ggpht.com/ytc/AOPolaQhI2_E9oexDbHMkggXCUDLpFTYJ4q2Fcqfzg=s88-c-k-c0x00ffffff-no-rj</v>
      </c>
      <c r="AL54" s="81">
        <v>0</v>
      </c>
      <c r="AM54" s="81">
        <v>0</v>
      </c>
      <c r="AN54" s="81">
        <v>0</v>
      </c>
      <c r="AO54" s="81" t="b">
        <v>0</v>
      </c>
      <c r="AP54" s="81">
        <v>0</v>
      </c>
      <c r="AQ54" s="81"/>
      <c r="AR54" s="81"/>
      <c r="AS54" s="81" t="s">
        <v>1057</v>
      </c>
      <c r="AT54" s="83" t="str">
        <f>HYPERLINK("https://www.youtube.com/channel/UCvnYe5ZbewHESm-Z-_sTDTQ")</f>
        <v>https://www.youtube.com/channel/UCvnYe5ZbewHESm-Z-_sTDTQ</v>
      </c>
      <c r="AU54" s="81">
        <v>6</v>
      </c>
      <c r="AV54" s="49">
        <v>1</v>
      </c>
      <c r="AW54" s="50">
        <v>4.3478260869565215</v>
      </c>
      <c r="AX54" s="49">
        <v>0</v>
      </c>
      <c r="AY54" s="50">
        <v>0</v>
      </c>
      <c r="AZ54" s="49">
        <v>0</v>
      </c>
      <c r="BA54" s="50">
        <v>0</v>
      </c>
      <c r="BB54" s="49">
        <v>6</v>
      </c>
      <c r="BC54" s="50">
        <v>26.08695652173913</v>
      </c>
      <c r="BD54" s="49">
        <v>23</v>
      </c>
      <c r="BE54" s="49"/>
      <c r="BF54" s="49"/>
      <c r="BG54" s="49"/>
      <c r="BH54" s="49"/>
      <c r="BI54" s="49"/>
      <c r="BJ54" s="49"/>
      <c r="BK54" s="115" t="s">
        <v>1098</v>
      </c>
      <c r="BL54" s="115" t="s">
        <v>1098</v>
      </c>
      <c r="BM54" s="115" t="s">
        <v>1229</v>
      </c>
      <c r="BN54" s="115" t="s">
        <v>1229</v>
      </c>
      <c r="BO54" s="2"/>
      <c r="BP54" s="3"/>
      <c r="BQ54" s="3"/>
      <c r="BR54" s="3"/>
      <c r="BS54" s="3"/>
    </row>
    <row r="55" spans="1:71" ht="15">
      <c r="A55" s="66" t="s">
        <v>271</v>
      </c>
      <c r="B55" s="67"/>
      <c r="C55" s="67"/>
      <c r="D55" s="68">
        <v>150</v>
      </c>
      <c r="E55" s="70"/>
      <c r="F55" s="103" t="str">
        <f>HYPERLINK("https://yt3.ggpht.com/ytc/AOPolaQ5LEdRU65ObHFFMIOdgZQbqqzpjh6CniptGmYClQ=s88-c-k-c0x00ffffff-no-rj")</f>
        <v>https://yt3.ggpht.com/ytc/AOPolaQ5LEdRU65ObHFFMIOdgZQbqqzpjh6CniptGmYClQ=s88-c-k-c0x00ffffff-no-rj</v>
      </c>
      <c r="G55" s="67"/>
      <c r="H55" s="71" t="s">
        <v>591</v>
      </c>
      <c r="I55" s="72"/>
      <c r="J55" s="72" t="s">
        <v>159</v>
      </c>
      <c r="K55" s="71" t="s">
        <v>591</v>
      </c>
      <c r="L55" s="75">
        <v>1</v>
      </c>
      <c r="M55" s="76">
        <v>6910.13671875</v>
      </c>
      <c r="N55" s="76">
        <v>290.9086608886719</v>
      </c>
      <c r="O55" s="77"/>
      <c r="P55" s="78"/>
      <c r="Q55" s="78"/>
      <c r="R55" s="89"/>
      <c r="S55" s="49">
        <v>0</v>
      </c>
      <c r="T55" s="49">
        <v>1</v>
      </c>
      <c r="U55" s="50">
        <v>0</v>
      </c>
      <c r="V55" s="50">
        <v>0.012698</v>
      </c>
      <c r="W55" s="50">
        <v>0</v>
      </c>
      <c r="X55" s="50">
        <v>0.004933</v>
      </c>
      <c r="Y55" s="50">
        <v>0</v>
      </c>
      <c r="Z55" s="50">
        <v>0</v>
      </c>
      <c r="AA55" s="73">
        <v>55</v>
      </c>
      <c r="AB55" s="73"/>
      <c r="AC55" s="74"/>
      <c r="AD55" s="81" t="s">
        <v>591</v>
      </c>
      <c r="AE55" s="81" t="s">
        <v>821</v>
      </c>
      <c r="AF55" s="81"/>
      <c r="AG55" s="81"/>
      <c r="AH55" s="81"/>
      <c r="AI55" s="81" t="s">
        <v>924</v>
      </c>
      <c r="AJ55" s="85">
        <v>41153.17039351852</v>
      </c>
      <c r="AK55" s="83" t="str">
        <f>HYPERLINK("https://yt3.ggpht.com/ytc/AOPolaQ5LEdRU65ObHFFMIOdgZQbqqzpjh6CniptGmYClQ=s88-c-k-c0x00ffffff-no-rj")</f>
        <v>https://yt3.ggpht.com/ytc/AOPolaQ5LEdRU65ObHFFMIOdgZQbqqzpjh6CniptGmYClQ=s88-c-k-c0x00ffffff-no-rj</v>
      </c>
      <c r="AL55" s="81">
        <v>0</v>
      </c>
      <c r="AM55" s="81">
        <v>0</v>
      </c>
      <c r="AN55" s="81">
        <v>3</v>
      </c>
      <c r="AO55" s="81" t="b">
        <v>0</v>
      </c>
      <c r="AP55" s="81">
        <v>0</v>
      </c>
      <c r="AQ55" s="81"/>
      <c r="AR55" s="81"/>
      <c r="AS55" s="81" t="s">
        <v>1057</v>
      </c>
      <c r="AT55" s="83" t="str">
        <f>HYPERLINK("https://www.youtube.com/channel/UCm0u5u7zlWVOFzy-YHjK24w")</f>
        <v>https://www.youtube.com/channel/UCm0u5u7zlWVOFzy-YHjK24w</v>
      </c>
      <c r="AU55" s="81">
        <v>6</v>
      </c>
      <c r="AV55" s="49">
        <v>2</v>
      </c>
      <c r="AW55" s="50">
        <v>13.333333333333334</v>
      </c>
      <c r="AX55" s="49">
        <v>0</v>
      </c>
      <c r="AY55" s="50">
        <v>0</v>
      </c>
      <c r="AZ55" s="49">
        <v>0</v>
      </c>
      <c r="BA55" s="50">
        <v>0</v>
      </c>
      <c r="BB55" s="49">
        <v>6</v>
      </c>
      <c r="BC55" s="50">
        <v>40</v>
      </c>
      <c r="BD55" s="49">
        <v>15</v>
      </c>
      <c r="BE55" s="49"/>
      <c r="BF55" s="49"/>
      <c r="BG55" s="49"/>
      <c r="BH55" s="49"/>
      <c r="BI55" s="49"/>
      <c r="BJ55" s="49"/>
      <c r="BK55" s="115" t="s">
        <v>1099</v>
      </c>
      <c r="BL55" s="115" t="s">
        <v>1099</v>
      </c>
      <c r="BM55" s="115" t="s">
        <v>1230</v>
      </c>
      <c r="BN55" s="115" t="s">
        <v>1230</v>
      </c>
      <c r="BO55" s="2"/>
      <c r="BP55" s="3"/>
      <c r="BQ55" s="3"/>
      <c r="BR55" s="3"/>
      <c r="BS55" s="3"/>
    </row>
    <row r="56" spans="1:71" ht="15">
      <c r="A56" s="66" t="s">
        <v>272</v>
      </c>
      <c r="B56" s="67"/>
      <c r="C56" s="67"/>
      <c r="D56" s="68">
        <v>150</v>
      </c>
      <c r="E56" s="70"/>
      <c r="F56" s="103" t="str">
        <f>HYPERLINK("https://yt3.ggpht.com/ytc/AOPolaQs_OgYPXeRlpAZGzF4I4cxDABIwZC9oiDy4Q=s88-c-k-c0x00ffffff-no-rj")</f>
        <v>https://yt3.ggpht.com/ytc/AOPolaQs_OgYPXeRlpAZGzF4I4cxDABIwZC9oiDy4Q=s88-c-k-c0x00ffffff-no-rj</v>
      </c>
      <c r="G56" s="67"/>
      <c r="H56" s="71" t="s">
        <v>592</v>
      </c>
      <c r="I56" s="72"/>
      <c r="J56" s="72" t="s">
        <v>159</v>
      </c>
      <c r="K56" s="71" t="s">
        <v>592</v>
      </c>
      <c r="L56" s="75">
        <v>1</v>
      </c>
      <c r="M56" s="76">
        <v>8451.9150390625</v>
      </c>
      <c r="N56" s="76">
        <v>517.1896362304688</v>
      </c>
      <c r="O56" s="77"/>
      <c r="P56" s="78"/>
      <c r="Q56" s="78"/>
      <c r="R56" s="89"/>
      <c r="S56" s="49">
        <v>0</v>
      </c>
      <c r="T56" s="49">
        <v>1</v>
      </c>
      <c r="U56" s="50">
        <v>0</v>
      </c>
      <c r="V56" s="50">
        <v>0.005556</v>
      </c>
      <c r="W56" s="50">
        <v>0</v>
      </c>
      <c r="X56" s="50">
        <v>0.005139</v>
      </c>
      <c r="Y56" s="50">
        <v>0</v>
      </c>
      <c r="Z56" s="50">
        <v>0</v>
      </c>
      <c r="AA56" s="73">
        <v>56</v>
      </c>
      <c r="AB56" s="73"/>
      <c r="AC56" s="74"/>
      <c r="AD56" s="81" t="s">
        <v>592</v>
      </c>
      <c r="AE56" s="81"/>
      <c r="AF56" s="81"/>
      <c r="AG56" s="81"/>
      <c r="AH56" s="81"/>
      <c r="AI56" s="81" t="s">
        <v>925</v>
      </c>
      <c r="AJ56" s="85">
        <v>44181.74909722222</v>
      </c>
      <c r="AK56" s="83" t="str">
        <f>HYPERLINK("https://yt3.ggpht.com/ytc/AOPolaQs_OgYPXeRlpAZGzF4I4cxDABIwZC9oiDy4Q=s88-c-k-c0x00ffffff-no-rj")</f>
        <v>https://yt3.ggpht.com/ytc/AOPolaQs_OgYPXeRlpAZGzF4I4cxDABIwZC9oiDy4Q=s88-c-k-c0x00ffffff-no-rj</v>
      </c>
      <c r="AL56" s="81">
        <v>0</v>
      </c>
      <c r="AM56" s="81">
        <v>0</v>
      </c>
      <c r="AN56" s="81">
        <v>7</v>
      </c>
      <c r="AO56" s="81" t="b">
        <v>0</v>
      </c>
      <c r="AP56" s="81">
        <v>0</v>
      </c>
      <c r="AQ56" s="81"/>
      <c r="AR56" s="81"/>
      <c r="AS56" s="81" t="s">
        <v>1057</v>
      </c>
      <c r="AT56" s="83" t="str">
        <f>HYPERLINK("https://www.youtube.com/channel/UCT6EoNl-Na6TYfdKtNTCY5A")</f>
        <v>https://www.youtube.com/channel/UCT6EoNl-Na6TYfdKtNTCY5A</v>
      </c>
      <c r="AU56" s="81">
        <v>10</v>
      </c>
      <c r="AV56" s="49">
        <v>0</v>
      </c>
      <c r="AW56" s="50">
        <v>0</v>
      </c>
      <c r="AX56" s="49">
        <v>0</v>
      </c>
      <c r="AY56" s="50">
        <v>0</v>
      </c>
      <c r="AZ56" s="49">
        <v>0</v>
      </c>
      <c r="BA56" s="50">
        <v>0</v>
      </c>
      <c r="BB56" s="49">
        <v>6</v>
      </c>
      <c r="BC56" s="50">
        <v>35.294117647058826</v>
      </c>
      <c r="BD56" s="49">
        <v>17</v>
      </c>
      <c r="BE56" s="49"/>
      <c r="BF56" s="49"/>
      <c r="BG56" s="49"/>
      <c r="BH56" s="49"/>
      <c r="BI56" s="49"/>
      <c r="BJ56" s="49"/>
      <c r="BK56" s="115" t="s">
        <v>1100</v>
      </c>
      <c r="BL56" s="115" t="s">
        <v>1100</v>
      </c>
      <c r="BM56" s="115" t="s">
        <v>1231</v>
      </c>
      <c r="BN56" s="115" t="s">
        <v>1231</v>
      </c>
      <c r="BO56" s="2"/>
      <c r="BP56" s="3"/>
      <c r="BQ56" s="3"/>
      <c r="BR56" s="3"/>
      <c r="BS56" s="3"/>
    </row>
    <row r="57" spans="1:71" ht="15">
      <c r="A57" s="66" t="s">
        <v>273</v>
      </c>
      <c r="B57" s="67"/>
      <c r="C57" s="67"/>
      <c r="D57" s="68">
        <v>150</v>
      </c>
      <c r="E57" s="70"/>
      <c r="F57" s="103" t="str">
        <f>HYPERLINK("https://yt3.ggpht.com/ytc/AOPolaSVBDOZ94rhLUbjD8_yFdE05mi8v-YaGPE_vE9miA=s88-c-k-c0x00ffffff-no-rj")</f>
        <v>https://yt3.ggpht.com/ytc/AOPolaSVBDOZ94rhLUbjD8_yFdE05mi8v-YaGPE_vE9miA=s88-c-k-c0x00ffffff-no-rj</v>
      </c>
      <c r="G57" s="67"/>
      <c r="H57" s="71" t="s">
        <v>773</v>
      </c>
      <c r="I57" s="72"/>
      <c r="J57" s="72" t="s">
        <v>159</v>
      </c>
      <c r="K57" s="71" t="s">
        <v>773</v>
      </c>
      <c r="L57" s="75">
        <v>1</v>
      </c>
      <c r="M57" s="76">
        <v>9009.18359375</v>
      </c>
      <c r="N57" s="76">
        <v>517.1896362304688</v>
      </c>
      <c r="O57" s="77"/>
      <c r="P57" s="78"/>
      <c r="Q57" s="78"/>
      <c r="R57" s="89"/>
      <c r="S57" s="49">
        <v>2</v>
      </c>
      <c r="T57" s="49">
        <v>1</v>
      </c>
      <c r="U57" s="50">
        <v>0</v>
      </c>
      <c r="V57" s="50">
        <v>0.005556</v>
      </c>
      <c r="W57" s="50">
        <v>0</v>
      </c>
      <c r="X57" s="50">
        <v>0.00591</v>
      </c>
      <c r="Y57" s="50">
        <v>0</v>
      </c>
      <c r="Z57" s="50">
        <v>0</v>
      </c>
      <c r="AA57" s="73">
        <v>57</v>
      </c>
      <c r="AB57" s="73"/>
      <c r="AC57" s="74"/>
      <c r="AD57" s="81" t="s">
        <v>773</v>
      </c>
      <c r="AE57" s="81" t="s">
        <v>822</v>
      </c>
      <c r="AF57" s="81"/>
      <c r="AG57" s="81"/>
      <c r="AH57" s="81"/>
      <c r="AI57" s="81" t="s">
        <v>926</v>
      </c>
      <c r="AJ57" s="85">
        <v>39176.66768518519</v>
      </c>
      <c r="AK57" s="83" t="str">
        <f>HYPERLINK("https://yt3.ggpht.com/ytc/AOPolaSVBDOZ94rhLUbjD8_yFdE05mi8v-YaGPE_vE9miA=s88-c-k-c0x00ffffff-no-rj")</f>
        <v>https://yt3.ggpht.com/ytc/AOPolaSVBDOZ94rhLUbjD8_yFdE05mi8v-YaGPE_vE9miA=s88-c-k-c0x00ffffff-no-rj</v>
      </c>
      <c r="AL57" s="81">
        <v>1136996339</v>
      </c>
      <c r="AM57" s="81">
        <v>0</v>
      </c>
      <c r="AN57" s="81">
        <v>2790000</v>
      </c>
      <c r="AO57" s="81" t="b">
        <v>0</v>
      </c>
      <c r="AP57" s="81">
        <v>91936</v>
      </c>
      <c r="AQ57" s="81"/>
      <c r="AR57" s="81"/>
      <c r="AS57" s="81" t="s">
        <v>1057</v>
      </c>
      <c r="AT57" s="83" t="str">
        <f>HYPERLINK("https://www.youtube.com/channel/UCQfwfsi5VrQ8yKZ-UWmAEFg")</f>
        <v>https://www.youtube.com/channel/UCQfwfsi5VrQ8yKZ-UWmAEFg</v>
      </c>
      <c r="AU57" s="81">
        <v>10</v>
      </c>
      <c r="AV57" s="49"/>
      <c r="AW57" s="50"/>
      <c r="AX57" s="49"/>
      <c r="AY57" s="50"/>
      <c r="AZ57" s="49"/>
      <c r="BA57" s="50"/>
      <c r="BB57" s="49"/>
      <c r="BC57" s="50"/>
      <c r="BD57" s="49"/>
      <c r="BE57" s="49"/>
      <c r="BF57" s="49"/>
      <c r="BG57" s="49"/>
      <c r="BH57" s="49"/>
      <c r="BI57" s="49"/>
      <c r="BJ57" s="49"/>
      <c r="BK57" s="115" t="s">
        <v>1634</v>
      </c>
      <c r="BL57" s="115" t="s">
        <v>1634</v>
      </c>
      <c r="BM57" s="115" t="s">
        <v>1634</v>
      </c>
      <c r="BN57" s="115" t="s">
        <v>1634</v>
      </c>
      <c r="BO57" s="2"/>
      <c r="BP57" s="3"/>
      <c r="BQ57" s="3"/>
      <c r="BR57" s="3"/>
      <c r="BS57" s="3"/>
    </row>
    <row r="58" spans="1:71" ht="15">
      <c r="A58" s="66" t="s">
        <v>274</v>
      </c>
      <c r="B58" s="67"/>
      <c r="C58" s="67"/>
      <c r="D58" s="68">
        <v>150</v>
      </c>
      <c r="E58" s="70"/>
      <c r="F58" s="103" t="str">
        <f>HYPERLINK("https://yt3.ggpht.com/ytc/AOPolaTWA_BCbbmvHL6j955dIa5X7VIMtk1EXid08JOzVQ=s88-c-k-c0x00ffffff-no-rj")</f>
        <v>https://yt3.ggpht.com/ytc/AOPolaTWA_BCbbmvHL6j955dIa5X7VIMtk1EXid08JOzVQ=s88-c-k-c0x00ffffff-no-rj</v>
      </c>
      <c r="G58" s="67"/>
      <c r="H58" s="71" t="s">
        <v>593</v>
      </c>
      <c r="I58" s="72"/>
      <c r="J58" s="72" t="s">
        <v>159</v>
      </c>
      <c r="K58" s="71" t="s">
        <v>593</v>
      </c>
      <c r="L58" s="75">
        <v>1</v>
      </c>
      <c r="M58" s="76">
        <v>8420.0712890625</v>
      </c>
      <c r="N58" s="76">
        <v>2912.783447265625</v>
      </c>
      <c r="O58" s="77"/>
      <c r="P58" s="78"/>
      <c r="Q58" s="78"/>
      <c r="R58" s="89"/>
      <c r="S58" s="49">
        <v>0</v>
      </c>
      <c r="T58" s="49">
        <v>1</v>
      </c>
      <c r="U58" s="50">
        <v>0</v>
      </c>
      <c r="V58" s="50">
        <v>0.007407</v>
      </c>
      <c r="W58" s="50">
        <v>0</v>
      </c>
      <c r="X58" s="50">
        <v>0.005023</v>
      </c>
      <c r="Y58" s="50">
        <v>0</v>
      </c>
      <c r="Z58" s="50">
        <v>0</v>
      </c>
      <c r="AA58" s="73">
        <v>58</v>
      </c>
      <c r="AB58" s="73"/>
      <c r="AC58" s="74"/>
      <c r="AD58" s="81" t="s">
        <v>593</v>
      </c>
      <c r="AE58" s="81" t="s">
        <v>823</v>
      </c>
      <c r="AF58" s="81"/>
      <c r="AG58" s="81"/>
      <c r="AH58" s="81"/>
      <c r="AI58" s="81" t="s">
        <v>927</v>
      </c>
      <c r="AJ58" s="85">
        <v>41557.06878472222</v>
      </c>
      <c r="AK58" s="83" t="str">
        <f>HYPERLINK("https://yt3.ggpht.com/ytc/AOPolaTWA_BCbbmvHL6j955dIa5X7VIMtk1EXid08JOzVQ=s88-c-k-c0x00ffffff-no-rj")</f>
        <v>https://yt3.ggpht.com/ytc/AOPolaTWA_BCbbmvHL6j955dIa5X7VIMtk1EXid08JOzVQ=s88-c-k-c0x00ffffff-no-rj</v>
      </c>
      <c r="AL58" s="81">
        <v>742</v>
      </c>
      <c r="AM58" s="81">
        <v>0</v>
      </c>
      <c r="AN58" s="81">
        <v>11</v>
      </c>
      <c r="AO58" s="81" t="b">
        <v>0</v>
      </c>
      <c r="AP58" s="81">
        <v>1</v>
      </c>
      <c r="AQ58" s="81"/>
      <c r="AR58" s="81"/>
      <c r="AS58" s="81" t="s">
        <v>1057</v>
      </c>
      <c r="AT58" s="83" t="str">
        <f>HYPERLINK("https://www.youtube.com/channel/UC526t1OIrjqS7bvHnEFJIBw")</f>
        <v>https://www.youtube.com/channel/UC526t1OIrjqS7bvHnEFJIBw</v>
      </c>
      <c r="AU58" s="81">
        <v>8</v>
      </c>
      <c r="AV58" s="49">
        <v>2</v>
      </c>
      <c r="AW58" s="50">
        <v>28.571428571428573</v>
      </c>
      <c r="AX58" s="49">
        <v>0</v>
      </c>
      <c r="AY58" s="50">
        <v>0</v>
      </c>
      <c r="AZ58" s="49">
        <v>0</v>
      </c>
      <c r="BA58" s="50">
        <v>0</v>
      </c>
      <c r="BB58" s="49">
        <v>0</v>
      </c>
      <c r="BC58" s="50">
        <v>0</v>
      </c>
      <c r="BD58" s="49">
        <v>7</v>
      </c>
      <c r="BE58" s="49"/>
      <c r="BF58" s="49"/>
      <c r="BG58" s="49"/>
      <c r="BH58" s="49"/>
      <c r="BI58" s="49"/>
      <c r="BJ58" s="49"/>
      <c r="BK58" s="115" t="s">
        <v>1101</v>
      </c>
      <c r="BL58" s="115" t="s">
        <v>1101</v>
      </c>
      <c r="BM58" s="115" t="s">
        <v>1232</v>
      </c>
      <c r="BN58" s="115" t="s">
        <v>1232</v>
      </c>
      <c r="BO58" s="2"/>
      <c r="BP58" s="3"/>
      <c r="BQ58" s="3"/>
      <c r="BR58" s="3"/>
      <c r="BS58" s="3"/>
    </row>
    <row r="59" spans="1:71" ht="15">
      <c r="A59" s="66" t="s">
        <v>276</v>
      </c>
      <c r="B59" s="67"/>
      <c r="C59" s="67"/>
      <c r="D59" s="68">
        <v>150</v>
      </c>
      <c r="E59" s="70"/>
      <c r="F59" s="103" t="str">
        <f>HYPERLINK("https://yt3.ggpht.com/ytc/AOPolaSvtputk5KPonSV_3ACXOmJHxUd_UBYEUfgmA=s88-c-k-c0x00ffffff-no-rj")</f>
        <v>https://yt3.ggpht.com/ytc/AOPolaSvtputk5KPonSV_3ACXOmJHxUd_UBYEUfgmA=s88-c-k-c0x00ffffff-no-rj</v>
      </c>
      <c r="G59" s="67"/>
      <c r="H59" s="71" t="s">
        <v>594</v>
      </c>
      <c r="I59" s="72"/>
      <c r="J59" s="72" t="s">
        <v>159</v>
      </c>
      <c r="K59" s="71" t="s">
        <v>594</v>
      </c>
      <c r="L59" s="75">
        <v>1</v>
      </c>
      <c r="M59" s="76">
        <v>8913.65234375</v>
      </c>
      <c r="N59" s="76">
        <v>2912.783447265625</v>
      </c>
      <c r="O59" s="77"/>
      <c r="P59" s="78"/>
      <c r="Q59" s="78"/>
      <c r="R59" s="89"/>
      <c r="S59" s="49">
        <v>0</v>
      </c>
      <c r="T59" s="49">
        <v>1</v>
      </c>
      <c r="U59" s="50">
        <v>0</v>
      </c>
      <c r="V59" s="50">
        <v>0.007407</v>
      </c>
      <c r="W59" s="50">
        <v>0</v>
      </c>
      <c r="X59" s="50">
        <v>0.005023</v>
      </c>
      <c r="Y59" s="50">
        <v>0</v>
      </c>
      <c r="Z59" s="50">
        <v>0</v>
      </c>
      <c r="AA59" s="73">
        <v>59</v>
      </c>
      <c r="AB59" s="73"/>
      <c r="AC59" s="74"/>
      <c r="AD59" s="81" t="s">
        <v>594</v>
      </c>
      <c r="AE59" s="81"/>
      <c r="AF59" s="81"/>
      <c r="AG59" s="81"/>
      <c r="AH59" s="81"/>
      <c r="AI59" s="81" t="s">
        <v>929</v>
      </c>
      <c r="AJ59" s="85">
        <v>44185.840462962966</v>
      </c>
      <c r="AK59" s="83" t="str">
        <f>HYPERLINK("https://yt3.ggpht.com/ytc/AOPolaSvtputk5KPonSV_3ACXOmJHxUd_UBYEUfgmA=s88-c-k-c0x00ffffff-no-rj")</f>
        <v>https://yt3.ggpht.com/ytc/AOPolaSvtputk5KPonSV_3ACXOmJHxUd_UBYEUfgmA=s88-c-k-c0x00ffffff-no-rj</v>
      </c>
      <c r="AL59" s="81">
        <v>0</v>
      </c>
      <c r="AM59" s="81">
        <v>0</v>
      </c>
      <c r="AN59" s="81">
        <v>0</v>
      </c>
      <c r="AO59" s="81" t="b">
        <v>0</v>
      </c>
      <c r="AP59" s="81">
        <v>0</v>
      </c>
      <c r="AQ59" s="81"/>
      <c r="AR59" s="81"/>
      <c r="AS59" s="81" t="s">
        <v>1057</v>
      </c>
      <c r="AT59" s="83" t="str">
        <f>HYPERLINK("https://www.youtube.com/channel/UCEO_1xjI50wCbR4qgqVJ62A")</f>
        <v>https://www.youtube.com/channel/UCEO_1xjI50wCbR4qgqVJ62A</v>
      </c>
      <c r="AU59" s="81">
        <v>8</v>
      </c>
      <c r="AV59" s="49">
        <v>0</v>
      </c>
      <c r="AW59" s="50">
        <v>0</v>
      </c>
      <c r="AX59" s="49">
        <v>0</v>
      </c>
      <c r="AY59" s="50">
        <v>0</v>
      </c>
      <c r="AZ59" s="49">
        <v>0</v>
      </c>
      <c r="BA59" s="50">
        <v>0</v>
      </c>
      <c r="BB59" s="49">
        <v>1</v>
      </c>
      <c r="BC59" s="50">
        <v>12.5</v>
      </c>
      <c r="BD59" s="49">
        <v>8</v>
      </c>
      <c r="BE59" s="49"/>
      <c r="BF59" s="49"/>
      <c r="BG59" s="49"/>
      <c r="BH59" s="49"/>
      <c r="BI59" s="49"/>
      <c r="BJ59" s="49"/>
      <c r="BK59" s="115" t="s">
        <v>1102</v>
      </c>
      <c r="BL59" s="115" t="s">
        <v>1102</v>
      </c>
      <c r="BM59" s="115" t="s">
        <v>1634</v>
      </c>
      <c r="BN59" s="115" t="s">
        <v>1634</v>
      </c>
      <c r="BO59" s="2"/>
      <c r="BP59" s="3"/>
      <c r="BQ59" s="3"/>
      <c r="BR59" s="3"/>
      <c r="BS59" s="3"/>
    </row>
    <row r="60" spans="1:71" ht="15">
      <c r="A60" s="66" t="s">
        <v>277</v>
      </c>
      <c r="B60" s="67"/>
      <c r="C60" s="67"/>
      <c r="D60" s="68">
        <v>150</v>
      </c>
      <c r="E60" s="70"/>
      <c r="F60" s="103" t="str">
        <f>HYPERLINK("https://yt3.ggpht.com/08hP4Y7FR8P4pcabhk1s52f_1PkY-3TZ36lcXtc8rHXMtHL8-kZLwBiGRm435l_B2TogzQaRpA=s88-c-k-c0x00ffffff-no-rj")</f>
        <v>https://yt3.ggpht.com/08hP4Y7FR8P4pcabhk1s52f_1PkY-3TZ36lcXtc8rHXMtHL8-kZLwBiGRm435l_B2TogzQaRpA=s88-c-k-c0x00ffffff-no-rj</v>
      </c>
      <c r="G60" s="67"/>
      <c r="H60" s="71" t="s">
        <v>595</v>
      </c>
      <c r="I60" s="72"/>
      <c r="J60" s="72" t="s">
        <v>159</v>
      </c>
      <c r="K60" s="71" t="s">
        <v>595</v>
      </c>
      <c r="L60" s="75">
        <v>1</v>
      </c>
      <c r="M60" s="76">
        <v>7804.42138671875</v>
      </c>
      <c r="N60" s="76">
        <v>2819.40185546875</v>
      </c>
      <c r="O60" s="77"/>
      <c r="P60" s="78"/>
      <c r="Q60" s="78"/>
      <c r="R60" s="89"/>
      <c r="S60" s="49">
        <v>0</v>
      </c>
      <c r="T60" s="49">
        <v>1</v>
      </c>
      <c r="U60" s="50">
        <v>0</v>
      </c>
      <c r="V60" s="50">
        <v>0.01</v>
      </c>
      <c r="W60" s="50">
        <v>0</v>
      </c>
      <c r="X60" s="50">
        <v>0.004966</v>
      </c>
      <c r="Y60" s="50">
        <v>0</v>
      </c>
      <c r="Z60" s="50">
        <v>0</v>
      </c>
      <c r="AA60" s="73">
        <v>60</v>
      </c>
      <c r="AB60" s="73"/>
      <c r="AC60" s="74"/>
      <c r="AD60" s="81" t="s">
        <v>595</v>
      </c>
      <c r="AE60" s="81" t="s">
        <v>825</v>
      </c>
      <c r="AF60" s="81"/>
      <c r="AG60" s="81"/>
      <c r="AH60" s="81"/>
      <c r="AI60" s="81" t="s">
        <v>930</v>
      </c>
      <c r="AJ60" s="85">
        <v>42129.96403935185</v>
      </c>
      <c r="AK60" s="83" t="str">
        <f>HYPERLINK("https://yt3.ggpht.com/08hP4Y7FR8P4pcabhk1s52f_1PkY-3TZ36lcXtc8rHXMtHL8-kZLwBiGRm435l_B2TogzQaRpA=s88-c-k-c0x00ffffff-no-rj")</f>
        <v>https://yt3.ggpht.com/08hP4Y7FR8P4pcabhk1s52f_1PkY-3TZ36lcXtc8rHXMtHL8-kZLwBiGRm435l_B2TogzQaRpA=s88-c-k-c0x00ffffff-no-rj</v>
      </c>
      <c r="AL60" s="81">
        <v>183030</v>
      </c>
      <c r="AM60" s="81">
        <v>0</v>
      </c>
      <c r="AN60" s="81">
        <v>618</v>
      </c>
      <c r="AO60" s="81" t="b">
        <v>0</v>
      </c>
      <c r="AP60" s="81">
        <v>157</v>
      </c>
      <c r="AQ60" s="81"/>
      <c r="AR60" s="81"/>
      <c r="AS60" s="81" t="s">
        <v>1057</v>
      </c>
      <c r="AT60" s="83" t="str">
        <f>HYPERLINK("https://www.youtube.com/channel/UChjx21hiMTlfhgfwBHsckIw")</f>
        <v>https://www.youtube.com/channel/UChjx21hiMTlfhgfwBHsckIw</v>
      </c>
      <c r="AU60" s="81">
        <v>7</v>
      </c>
      <c r="AV60" s="49">
        <v>3</v>
      </c>
      <c r="AW60" s="50">
        <v>13.043478260869565</v>
      </c>
      <c r="AX60" s="49">
        <v>0</v>
      </c>
      <c r="AY60" s="50">
        <v>0</v>
      </c>
      <c r="AZ60" s="49">
        <v>0</v>
      </c>
      <c r="BA60" s="50">
        <v>0</v>
      </c>
      <c r="BB60" s="49">
        <v>7</v>
      </c>
      <c r="BC60" s="50">
        <v>30.434782608695652</v>
      </c>
      <c r="BD60" s="49">
        <v>23</v>
      </c>
      <c r="BE60" s="49" t="s">
        <v>1573</v>
      </c>
      <c r="BF60" s="49" t="s">
        <v>1573</v>
      </c>
      <c r="BG60" s="49" t="s">
        <v>1059</v>
      </c>
      <c r="BH60" s="49" t="s">
        <v>1059</v>
      </c>
      <c r="BI60" s="49"/>
      <c r="BJ60" s="49"/>
      <c r="BK60" s="115" t="s">
        <v>1103</v>
      </c>
      <c r="BL60" s="115" t="s">
        <v>1103</v>
      </c>
      <c r="BM60" s="115" t="s">
        <v>1233</v>
      </c>
      <c r="BN60" s="115" t="s">
        <v>1233</v>
      </c>
      <c r="BO60" s="2"/>
      <c r="BP60" s="3"/>
      <c r="BQ60" s="3"/>
      <c r="BR60" s="3"/>
      <c r="BS60" s="3"/>
    </row>
    <row r="61" spans="1:71" ht="15">
      <c r="A61" s="66" t="s">
        <v>278</v>
      </c>
      <c r="B61" s="67"/>
      <c r="C61" s="67"/>
      <c r="D61" s="68">
        <v>150</v>
      </c>
      <c r="E61" s="70"/>
      <c r="F61" s="103" t="str">
        <f>HYPERLINK("https://yt3.ggpht.com/ytc/AOPolaSyCODOkAAEfILUS1_Ag-RSkLs1jDE2mV-fVQ=s88-c-k-c0x00ffffff-no-rj")</f>
        <v>https://yt3.ggpht.com/ytc/AOPolaSyCODOkAAEfILUS1_Ag-RSkLs1jDE2mV-fVQ=s88-c-k-c0x00ffffff-no-rj</v>
      </c>
      <c r="G61" s="67"/>
      <c r="H61" s="71" t="s">
        <v>596</v>
      </c>
      <c r="I61" s="72"/>
      <c r="J61" s="72" t="s">
        <v>159</v>
      </c>
      <c r="K61" s="71" t="s">
        <v>596</v>
      </c>
      <c r="L61" s="75">
        <v>1</v>
      </c>
      <c r="M61" s="76">
        <v>7278.99609375</v>
      </c>
      <c r="N61" s="76">
        <v>2819.40185546875</v>
      </c>
      <c r="O61" s="77"/>
      <c r="P61" s="78"/>
      <c r="Q61" s="78"/>
      <c r="R61" s="89"/>
      <c r="S61" s="49">
        <v>0</v>
      </c>
      <c r="T61" s="49">
        <v>1</v>
      </c>
      <c r="U61" s="50">
        <v>0</v>
      </c>
      <c r="V61" s="50">
        <v>0.01</v>
      </c>
      <c r="W61" s="50">
        <v>0</v>
      </c>
      <c r="X61" s="50">
        <v>0.004966</v>
      </c>
      <c r="Y61" s="50">
        <v>0</v>
      </c>
      <c r="Z61" s="50">
        <v>0</v>
      </c>
      <c r="AA61" s="73">
        <v>61</v>
      </c>
      <c r="AB61" s="73"/>
      <c r="AC61" s="74"/>
      <c r="AD61" s="81" t="s">
        <v>596</v>
      </c>
      <c r="AE61" s="81"/>
      <c r="AF61" s="81"/>
      <c r="AG61" s="81"/>
      <c r="AH61" s="81"/>
      <c r="AI61" s="81" t="s">
        <v>932</v>
      </c>
      <c r="AJ61" s="85">
        <v>40613.3159375</v>
      </c>
      <c r="AK61" s="83" t="str">
        <f>HYPERLINK("https://yt3.ggpht.com/ytc/AOPolaSyCODOkAAEfILUS1_Ag-RSkLs1jDE2mV-fVQ=s88-c-k-c0x00ffffff-no-rj")</f>
        <v>https://yt3.ggpht.com/ytc/AOPolaSyCODOkAAEfILUS1_Ag-RSkLs1jDE2mV-fVQ=s88-c-k-c0x00ffffff-no-rj</v>
      </c>
      <c r="AL61" s="81">
        <v>0</v>
      </c>
      <c r="AM61" s="81">
        <v>0</v>
      </c>
      <c r="AN61" s="81">
        <v>0</v>
      </c>
      <c r="AO61" s="81" t="b">
        <v>0</v>
      </c>
      <c r="AP61" s="81">
        <v>0</v>
      </c>
      <c r="AQ61" s="81"/>
      <c r="AR61" s="81"/>
      <c r="AS61" s="81" t="s">
        <v>1057</v>
      </c>
      <c r="AT61" s="83" t="str">
        <f>HYPERLINK("https://www.youtube.com/channel/UChXz-P6I7WEkj4SrLhck-9A")</f>
        <v>https://www.youtube.com/channel/UChXz-P6I7WEkj4SrLhck-9A</v>
      </c>
      <c r="AU61" s="81">
        <v>7</v>
      </c>
      <c r="AV61" s="49">
        <v>1</v>
      </c>
      <c r="AW61" s="50">
        <v>16.666666666666668</v>
      </c>
      <c r="AX61" s="49">
        <v>0</v>
      </c>
      <c r="AY61" s="50">
        <v>0</v>
      </c>
      <c r="AZ61" s="49">
        <v>0</v>
      </c>
      <c r="BA61" s="50">
        <v>0</v>
      </c>
      <c r="BB61" s="49">
        <v>4</v>
      </c>
      <c r="BC61" s="50">
        <v>66.66666666666667</v>
      </c>
      <c r="BD61" s="49">
        <v>6</v>
      </c>
      <c r="BE61" s="49"/>
      <c r="BF61" s="49"/>
      <c r="BG61" s="49"/>
      <c r="BH61" s="49"/>
      <c r="BI61" s="49"/>
      <c r="BJ61" s="49"/>
      <c r="BK61" s="115" t="s">
        <v>1104</v>
      </c>
      <c r="BL61" s="115" t="s">
        <v>1104</v>
      </c>
      <c r="BM61" s="115" t="s">
        <v>1234</v>
      </c>
      <c r="BN61" s="115" t="s">
        <v>1234</v>
      </c>
      <c r="BO61" s="2"/>
      <c r="BP61" s="3"/>
      <c r="BQ61" s="3"/>
      <c r="BR61" s="3"/>
      <c r="BS61" s="3"/>
    </row>
    <row r="62" spans="1:71" ht="15">
      <c r="A62" s="66" t="s">
        <v>280</v>
      </c>
      <c r="B62" s="67"/>
      <c r="C62" s="67"/>
      <c r="D62" s="68">
        <v>150</v>
      </c>
      <c r="E62" s="70"/>
      <c r="F62" s="103" t="str">
        <f>HYPERLINK("https://yt3.ggpht.com/zenm3XDxZ5eP3PGmTDlM9v_oRjN4OUXBxCPL0RtXoWuGC1HWUeU-NPBnQm9KX6h1wH2aA3cf6g=s88-c-k-c0x00ffffff-no-rj")</f>
        <v>https://yt3.ggpht.com/zenm3XDxZ5eP3PGmTDlM9v_oRjN4OUXBxCPL0RtXoWuGC1HWUeU-NPBnQm9KX6h1wH2aA3cf6g=s88-c-k-c0x00ffffff-no-rj</v>
      </c>
      <c r="G62" s="67"/>
      <c r="H62" s="71" t="s">
        <v>597</v>
      </c>
      <c r="I62" s="72"/>
      <c r="J62" s="72" t="s">
        <v>159</v>
      </c>
      <c r="K62" s="71" t="s">
        <v>597</v>
      </c>
      <c r="L62" s="75">
        <v>1</v>
      </c>
      <c r="M62" s="76">
        <v>7278.99609375</v>
      </c>
      <c r="N62" s="76">
        <v>1964.6024169921875</v>
      </c>
      <c r="O62" s="77"/>
      <c r="P62" s="78"/>
      <c r="Q62" s="78"/>
      <c r="R62" s="89"/>
      <c r="S62" s="49">
        <v>0</v>
      </c>
      <c r="T62" s="49">
        <v>1</v>
      </c>
      <c r="U62" s="50">
        <v>0</v>
      </c>
      <c r="V62" s="50">
        <v>0.01</v>
      </c>
      <c r="W62" s="50">
        <v>0</v>
      </c>
      <c r="X62" s="50">
        <v>0.004966</v>
      </c>
      <c r="Y62" s="50">
        <v>0</v>
      </c>
      <c r="Z62" s="50">
        <v>0</v>
      </c>
      <c r="AA62" s="73">
        <v>62</v>
      </c>
      <c r="AB62" s="73"/>
      <c r="AC62" s="74"/>
      <c r="AD62" s="81" t="s">
        <v>597</v>
      </c>
      <c r="AE62" s="81"/>
      <c r="AF62" s="81"/>
      <c r="AG62" s="81"/>
      <c r="AH62" s="81"/>
      <c r="AI62" s="81" t="s">
        <v>933</v>
      </c>
      <c r="AJ62" s="85">
        <v>44720.71210648148</v>
      </c>
      <c r="AK62" s="83" t="str">
        <f>HYPERLINK("https://yt3.ggpht.com/zenm3XDxZ5eP3PGmTDlM9v_oRjN4OUXBxCPL0RtXoWuGC1HWUeU-NPBnQm9KX6h1wH2aA3cf6g=s88-c-k-c0x00ffffff-no-rj")</f>
        <v>https://yt3.ggpht.com/zenm3XDxZ5eP3PGmTDlM9v_oRjN4OUXBxCPL0RtXoWuGC1HWUeU-NPBnQm9KX6h1wH2aA3cf6g=s88-c-k-c0x00ffffff-no-rj</v>
      </c>
      <c r="AL62" s="81">
        <v>0</v>
      </c>
      <c r="AM62" s="81">
        <v>0</v>
      </c>
      <c r="AN62" s="81">
        <v>0</v>
      </c>
      <c r="AO62" s="81" t="b">
        <v>0</v>
      </c>
      <c r="AP62" s="81">
        <v>0</v>
      </c>
      <c r="AQ62" s="81"/>
      <c r="AR62" s="81"/>
      <c r="AS62" s="81" t="s">
        <v>1057</v>
      </c>
      <c r="AT62" s="83" t="str">
        <f>HYPERLINK("https://www.youtube.com/channel/UCVRcC3-UyDw6AoxP_x12FzQ")</f>
        <v>https://www.youtube.com/channel/UCVRcC3-UyDw6AoxP_x12FzQ</v>
      </c>
      <c r="AU62" s="81">
        <v>7</v>
      </c>
      <c r="AV62" s="49">
        <v>1</v>
      </c>
      <c r="AW62" s="50">
        <v>33.333333333333336</v>
      </c>
      <c r="AX62" s="49">
        <v>0</v>
      </c>
      <c r="AY62" s="50">
        <v>0</v>
      </c>
      <c r="AZ62" s="49">
        <v>0</v>
      </c>
      <c r="BA62" s="50">
        <v>0</v>
      </c>
      <c r="BB62" s="49">
        <v>0</v>
      </c>
      <c r="BC62" s="50">
        <v>0</v>
      </c>
      <c r="BD62" s="49">
        <v>3</v>
      </c>
      <c r="BE62" s="49"/>
      <c r="BF62" s="49"/>
      <c r="BG62" s="49"/>
      <c r="BH62" s="49"/>
      <c r="BI62" s="49"/>
      <c r="BJ62" s="49"/>
      <c r="BK62" s="115" t="s">
        <v>1105</v>
      </c>
      <c r="BL62" s="115" t="s">
        <v>1105</v>
      </c>
      <c r="BM62" s="115" t="s">
        <v>1634</v>
      </c>
      <c r="BN62" s="115" t="s">
        <v>1634</v>
      </c>
      <c r="BO62" s="2"/>
      <c r="BP62" s="3"/>
      <c r="BQ62" s="3"/>
      <c r="BR62" s="3"/>
      <c r="BS62" s="3"/>
    </row>
    <row r="63" spans="1:71" ht="15">
      <c r="A63" s="66" t="s">
        <v>281</v>
      </c>
      <c r="B63" s="67"/>
      <c r="C63" s="67"/>
      <c r="D63" s="68">
        <v>150</v>
      </c>
      <c r="E63" s="70"/>
      <c r="F63" s="103" t="str">
        <f>HYPERLINK("https://yt3.ggpht.com/ytc/AOPolaTDR6WqoRV1rh61MM-L282g9QpIoHK_mcAKHQ=s88-c-k-c0x00ffffff-no-rj")</f>
        <v>https://yt3.ggpht.com/ytc/AOPolaTDR6WqoRV1rh61MM-L282g9QpIoHK_mcAKHQ=s88-c-k-c0x00ffffff-no-rj</v>
      </c>
      <c r="G63" s="67"/>
      <c r="H63" s="71" t="s">
        <v>598</v>
      </c>
      <c r="I63" s="72"/>
      <c r="J63" s="72" t="s">
        <v>159</v>
      </c>
      <c r="K63" s="71" t="s">
        <v>598</v>
      </c>
      <c r="L63" s="75">
        <v>1</v>
      </c>
      <c r="M63" s="76">
        <v>2303.368408203125</v>
      </c>
      <c r="N63" s="76">
        <v>9808.861328125</v>
      </c>
      <c r="O63" s="77"/>
      <c r="P63" s="78"/>
      <c r="Q63" s="78"/>
      <c r="R63" s="89"/>
      <c r="S63" s="49">
        <v>0</v>
      </c>
      <c r="T63" s="49">
        <v>1</v>
      </c>
      <c r="U63" s="50">
        <v>0</v>
      </c>
      <c r="V63" s="50">
        <v>0.256952</v>
      </c>
      <c r="W63" s="50">
        <v>0.071778</v>
      </c>
      <c r="X63" s="50">
        <v>0.004811</v>
      </c>
      <c r="Y63" s="50">
        <v>0</v>
      </c>
      <c r="Z63" s="50">
        <v>0</v>
      </c>
      <c r="AA63" s="73">
        <v>63</v>
      </c>
      <c r="AB63" s="73"/>
      <c r="AC63" s="74"/>
      <c r="AD63" s="81" t="s">
        <v>598</v>
      </c>
      <c r="AE63" s="81" t="s">
        <v>827</v>
      </c>
      <c r="AF63" s="81"/>
      <c r="AG63" s="81"/>
      <c r="AH63" s="81"/>
      <c r="AI63" s="81" t="s">
        <v>934</v>
      </c>
      <c r="AJ63" s="85">
        <v>42017.24476851852</v>
      </c>
      <c r="AK63" s="83" t="str">
        <f>HYPERLINK("https://yt3.ggpht.com/ytc/AOPolaTDR6WqoRV1rh61MM-L282g9QpIoHK_mcAKHQ=s88-c-k-c0x00ffffff-no-rj")</f>
        <v>https://yt3.ggpht.com/ytc/AOPolaTDR6WqoRV1rh61MM-L282g9QpIoHK_mcAKHQ=s88-c-k-c0x00ffffff-no-rj</v>
      </c>
      <c r="AL63" s="81">
        <v>7</v>
      </c>
      <c r="AM63" s="81">
        <v>0</v>
      </c>
      <c r="AN63" s="81">
        <v>2</v>
      </c>
      <c r="AO63" s="81" t="b">
        <v>0</v>
      </c>
      <c r="AP63" s="81">
        <v>2</v>
      </c>
      <c r="AQ63" s="81"/>
      <c r="AR63" s="81"/>
      <c r="AS63" s="81" t="s">
        <v>1057</v>
      </c>
      <c r="AT63" s="83" t="str">
        <f>HYPERLINK("https://www.youtube.com/channel/UCIkVw-7ZJmnvoSLvR_EVDuw")</f>
        <v>https://www.youtube.com/channel/UCIkVw-7ZJmnvoSLvR_EVDuw</v>
      </c>
      <c r="AU63" s="81">
        <v>1</v>
      </c>
      <c r="AV63" s="49">
        <v>3</v>
      </c>
      <c r="AW63" s="50">
        <v>5.882352941176471</v>
      </c>
      <c r="AX63" s="49">
        <v>0</v>
      </c>
      <c r="AY63" s="50">
        <v>0</v>
      </c>
      <c r="AZ63" s="49">
        <v>0</v>
      </c>
      <c r="BA63" s="50">
        <v>0</v>
      </c>
      <c r="BB63" s="49">
        <v>16</v>
      </c>
      <c r="BC63" s="50">
        <v>31.372549019607842</v>
      </c>
      <c r="BD63" s="49">
        <v>51</v>
      </c>
      <c r="BE63" s="49"/>
      <c r="BF63" s="49"/>
      <c r="BG63" s="49"/>
      <c r="BH63" s="49"/>
      <c r="BI63" s="49"/>
      <c r="BJ63" s="49"/>
      <c r="BK63" s="115" t="s">
        <v>1106</v>
      </c>
      <c r="BL63" s="115" t="s">
        <v>1106</v>
      </c>
      <c r="BM63" s="115" t="s">
        <v>1235</v>
      </c>
      <c r="BN63" s="115" t="s">
        <v>1235</v>
      </c>
      <c r="BO63" s="2"/>
      <c r="BP63" s="3"/>
      <c r="BQ63" s="3"/>
      <c r="BR63" s="3"/>
      <c r="BS63" s="3"/>
    </row>
    <row r="64" spans="1:71" ht="15">
      <c r="A64" s="66" t="s">
        <v>282</v>
      </c>
      <c r="B64" s="67"/>
      <c r="C64" s="67"/>
      <c r="D64" s="68">
        <v>150</v>
      </c>
      <c r="E64" s="70"/>
      <c r="F64" s="103" t="str">
        <f>HYPERLINK("https://yt3.ggpht.com/ytc/AOPolaTfNfFgQERHez-qzzESi96hShAYhTsulXj7YQ=s88-c-k-c0x00ffffff-no-rj")</f>
        <v>https://yt3.ggpht.com/ytc/AOPolaTfNfFgQERHez-qzzESi96hShAYhTsulXj7YQ=s88-c-k-c0x00ffffff-no-rj</v>
      </c>
      <c r="G64" s="67"/>
      <c r="H64" s="71" t="s">
        <v>599</v>
      </c>
      <c r="I64" s="72"/>
      <c r="J64" s="72" t="s">
        <v>159</v>
      </c>
      <c r="K64" s="71" t="s">
        <v>599</v>
      </c>
      <c r="L64" s="75">
        <v>1</v>
      </c>
      <c r="M64" s="76">
        <v>1124.6248779296875</v>
      </c>
      <c r="N64" s="76">
        <v>1094.28857421875</v>
      </c>
      <c r="O64" s="77"/>
      <c r="P64" s="78"/>
      <c r="Q64" s="78"/>
      <c r="R64" s="89"/>
      <c r="S64" s="49">
        <v>0</v>
      </c>
      <c r="T64" s="49">
        <v>1</v>
      </c>
      <c r="U64" s="50">
        <v>0</v>
      </c>
      <c r="V64" s="50">
        <v>0.256952</v>
      </c>
      <c r="W64" s="50">
        <v>0.071778</v>
      </c>
      <c r="X64" s="50">
        <v>0.004811</v>
      </c>
      <c r="Y64" s="50">
        <v>0</v>
      </c>
      <c r="Z64" s="50">
        <v>0</v>
      </c>
      <c r="AA64" s="73">
        <v>64</v>
      </c>
      <c r="AB64" s="73"/>
      <c r="AC64" s="74"/>
      <c r="AD64" s="81" t="s">
        <v>599</v>
      </c>
      <c r="AE64" s="81"/>
      <c r="AF64" s="81"/>
      <c r="AG64" s="81"/>
      <c r="AH64" s="81"/>
      <c r="AI64" s="81" t="s">
        <v>936</v>
      </c>
      <c r="AJ64" s="85">
        <v>40915.193460648145</v>
      </c>
      <c r="AK64" s="83" t="str">
        <f>HYPERLINK("https://yt3.ggpht.com/ytc/AOPolaTfNfFgQERHez-qzzESi96hShAYhTsulXj7YQ=s88-c-k-c0x00ffffff-no-rj")</f>
        <v>https://yt3.ggpht.com/ytc/AOPolaTfNfFgQERHez-qzzESi96hShAYhTsulXj7YQ=s88-c-k-c0x00ffffff-no-rj</v>
      </c>
      <c r="AL64" s="81">
        <v>0</v>
      </c>
      <c r="AM64" s="81">
        <v>0</v>
      </c>
      <c r="AN64" s="81">
        <v>6</v>
      </c>
      <c r="AO64" s="81" t="b">
        <v>0</v>
      </c>
      <c r="AP64" s="81">
        <v>0</v>
      </c>
      <c r="AQ64" s="81"/>
      <c r="AR64" s="81"/>
      <c r="AS64" s="81" t="s">
        <v>1057</v>
      </c>
      <c r="AT64" s="83" t="str">
        <f>HYPERLINK("https://www.youtube.com/channel/UC8o1tPWDu-BCJNUJzxdsdZQ")</f>
        <v>https://www.youtube.com/channel/UC8o1tPWDu-BCJNUJzxdsdZQ</v>
      </c>
      <c r="AU64" s="81">
        <v>1</v>
      </c>
      <c r="AV64" s="49">
        <v>6</v>
      </c>
      <c r="AW64" s="50">
        <v>17.142857142857142</v>
      </c>
      <c r="AX64" s="49">
        <v>0</v>
      </c>
      <c r="AY64" s="50">
        <v>0</v>
      </c>
      <c r="AZ64" s="49">
        <v>0</v>
      </c>
      <c r="BA64" s="50">
        <v>0</v>
      </c>
      <c r="BB64" s="49">
        <v>12</v>
      </c>
      <c r="BC64" s="50">
        <v>34.285714285714285</v>
      </c>
      <c r="BD64" s="49">
        <v>35</v>
      </c>
      <c r="BE64" s="49"/>
      <c r="BF64" s="49"/>
      <c r="BG64" s="49"/>
      <c r="BH64" s="49"/>
      <c r="BI64" s="49"/>
      <c r="BJ64" s="49"/>
      <c r="BK64" s="115" t="s">
        <v>1107</v>
      </c>
      <c r="BL64" s="115" t="s">
        <v>1107</v>
      </c>
      <c r="BM64" s="115" t="s">
        <v>1236</v>
      </c>
      <c r="BN64" s="115" t="s">
        <v>1236</v>
      </c>
      <c r="BO64" s="2"/>
      <c r="BP64" s="3"/>
      <c r="BQ64" s="3"/>
      <c r="BR64" s="3"/>
      <c r="BS64" s="3"/>
    </row>
    <row r="65" spans="1:71" ht="15">
      <c r="A65" s="66" t="s">
        <v>283</v>
      </c>
      <c r="B65" s="67"/>
      <c r="C65" s="67"/>
      <c r="D65" s="68">
        <v>150</v>
      </c>
      <c r="E65" s="70"/>
      <c r="F65" s="103" t="str">
        <f>HYPERLINK("https://yt3.ggpht.com/lO1Y_YkhbsWqswiAODZtOI4xB_7RXSA-7yquA8z45Tu5bYCh1l-T6DqWm3J3HFseTT5pwfF9Sg=s88-c-k-c0x00ffffff-no-rj")</f>
        <v>https://yt3.ggpht.com/lO1Y_YkhbsWqswiAODZtOI4xB_7RXSA-7yquA8z45Tu5bYCh1l-T6DqWm3J3HFseTT5pwfF9Sg=s88-c-k-c0x00ffffff-no-rj</v>
      </c>
      <c r="G65" s="67"/>
      <c r="H65" s="71" t="s">
        <v>600</v>
      </c>
      <c r="I65" s="72"/>
      <c r="J65" s="72" t="s">
        <v>159</v>
      </c>
      <c r="K65" s="71" t="s">
        <v>600</v>
      </c>
      <c r="L65" s="75">
        <v>1</v>
      </c>
      <c r="M65" s="76">
        <v>1241.8060302734375</v>
      </c>
      <c r="N65" s="76">
        <v>9009.68359375</v>
      </c>
      <c r="O65" s="77"/>
      <c r="P65" s="78"/>
      <c r="Q65" s="78"/>
      <c r="R65" s="89"/>
      <c r="S65" s="49">
        <v>0</v>
      </c>
      <c r="T65" s="49">
        <v>1</v>
      </c>
      <c r="U65" s="50">
        <v>0</v>
      </c>
      <c r="V65" s="50">
        <v>0.256952</v>
      </c>
      <c r="W65" s="50">
        <v>0.071778</v>
      </c>
      <c r="X65" s="50">
        <v>0.004811</v>
      </c>
      <c r="Y65" s="50">
        <v>0</v>
      </c>
      <c r="Z65" s="50">
        <v>0</v>
      </c>
      <c r="AA65" s="73">
        <v>65</v>
      </c>
      <c r="AB65" s="73"/>
      <c r="AC65" s="74"/>
      <c r="AD65" s="81" t="s">
        <v>600</v>
      </c>
      <c r="AE65" s="81" t="s">
        <v>829</v>
      </c>
      <c r="AF65" s="81"/>
      <c r="AG65" s="81"/>
      <c r="AH65" s="81"/>
      <c r="AI65" s="81" t="s">
        <v>937</v>
      </c>
      <c r="AJ65" s="85">
        <v>41918.47513888889</v>
      </c>
      <c r="AK65" s="83" t="str">
        <f>HYPERLINK("https://yt3.ggpht.com/lO1Y_YkhbsWqswiAODZtOI4xB_7RXSA-7yquA8z45Tu5bYCh1l-T6DqWm3J3HFseTT5pwfF9Sg=s88-c-k-c0x00ffffff-no-rj")</f>
        <v>https://yt3.ggpht.com/lO1Y_YkhbsWqswiAODZtOI4xB_7RXSA-7yquA8z45Tu5bYCh1l-T6DqWm3J3HFseTT5pwfF9Sg=s88-c-k-c0x00ffffff-no-rj</v>
      </c>
      <c r="AL65" s="81">
        <v>0</v>
      </c>
      <c r="AM65" s="81">
        <v>0</v>
      </c>
      <c r="AN65" s="81">
        <v>13</v>
      </c>
      <c r="AO65" s="81" t="b">
        <v>0</v>
      </c>
      <c r="AP65" s="81">
        <v>0</v>
      </c>
      <c r="AQ65" s="81"/>
      <c r="AR65" s="81"/>
      <c r="AS65" s="81" t="s">
        <v>1057</v>
      </c>
      <c r="AT65" s="83" t="str">
        <f>HYPERLINK("https://www.youtube.com/channel/UCjUQ4hGAkwC5BPHBwx9nvbQ")</f>
        <v>https://www.youtube.com/channel/UCjUQ4hGAkwC5BPHBwx9nvbQ</v>
      </c>
      <c r="AU65" s="81">
        <v>1</v>
      </c>
      <c r="AV65" s="49">
        <v>3</v>
      </c>
      <c r="AW65" s="50">
        <v>42.857142857142854</v>
      </c>
      <c r="AX65" s="49">
        <v>0</v>
      </c>
      <c r="AY65" s="50">
        <v>0</v>
      </c>
      <c r="AZ65" s="49">
        <v>0</v>
      </c>
      <c r="BA65" s="50">
        <v>0</v>
      </c>
      <c r="BB65" s="49">
        <v>4</v>
      </c>
      <c r="BC65" s="50">
        <v>57.142857142857146</v>
      </c>
      <c r="BD65" s="49">
        <v>7</v>
      </c>
      <c r="BE65" s="49"/>
      <c r="BF65" s="49"/>
      <c r="BG65" s="49"/>
      <c r="BH65" s="49"/>
      <c r="BI65" s="49"/>
      <c r="BJ65" s="49"/>
      <c r="BK65" s="115" t="s">
        <v>1108</v>
      </c>
      <c r="BL65" s="115" t="s">
        <v>1108</v>
      </c>
      <c r="BM65" s="115" t="s">
        <v>1237</v>
      </c>
      <c r="BN65" s="115" t="s">
        <v>1237</v>
      </c>
      <c r="BO65" s="2"/>
      <c r="BP65" s="3"/>
      <c r="BQ65" s="3"/>
      <c r="BR65" s="3"/>
      <c r="BS65" s="3"/>
    </row>
    <row r="66" spans="1:71" ht="15">
      <c r="A66" s="66" t="s">
        <v>284</v>
      </c>
      <c r="B66" s="67"/>
      <c r="C66" s="67"/>
      <c r="D66" s="68">
        <v>150</v>
      </c>
      <c r="E66" s="70"/>
      <c r="F66" s="103" t="str">
        <f>HYPERLINK("https://yt3.ggpht.com/ytc/AOPolaTWQ7Zew9E7XY_sOtaLv3fdzEwdMxnUczEtO55DHA=s88-c-k-c0x00ffffff-no-rj")</f>
        <v>https://yt3.ggpht.com/ytc/AOPolaTWQ7Zew9E7XY_sOtaLv3fdzEwdMxnUczEtO55DHA=s88-c-k-c0x00ffffff-no-rj</v>
      </c>
      <c r="G66" s="67"/>
      <c r="H66" s="71" t="s">
        <v>601</v>
      </c>
      <c r="I66" s="72"/>
      <c r="J66" s="72" t="s">
        <v>159</v>
      </c>
      <c r="K66" s="71" t="s">
        <v>601</v>
      </c>
      <c r="L66" s="75">
        <v>1</v>
      </c>
      <c r="M66" s="76">
        <v>273.4477233886719</v>
      </c>
      <c r="N66" s="76">
        <v>3317.55517578125</v>
      </c>
      <c r="O66" s="77"/>
      <c r="P66" s="78"/>
      <c r="Q66" s="78"/>
      <c r="R66" s="89"/>
      <c r="S66" s="49">
        <v>0</v>
      </c>
      <c r="T66" s="49">
        <v>1</v>
      </c>
      <c r="U66" s="50">
        <v>0</v>
      </c>
      <c r="V66" s="50">
        <v>0.256952</v>
      </c>
      <c r="W66" s="50">
        <v>0.071778</v>
      </c>
      <c r="X66" s="50">
        <v>0.004811</v>
      </c>
      <c r="Y66" s="50">
        <v>0</v>
      </c>
      <c r="Z66" s="50">
        <v>0</v>
      </c>
      <c r="AA66" s="73">
        <v>66</v>
      </c>
      <c r="AB66" s="73"/>
      <c r="AC66" s="74"/>
      <c r="AD66" s="81" t="s">
        <v>601</v>
      </c>
      <c r="AE66" s="81" t="s">
        <v>830</v>
      </c>
      <c r="AF66" s="81"/>
      <c r="AG66" s="81"/>
      <c r="AH66" s="81"/>
      <c r="AI66" s="81" t="s">
        <v>938</v>
      </c>
      <c r="AJ66" s="85">
        <v>39012.757743055554</v>
      </c>
      <c r="AK66" s="83" t="str">
        <f>HYPERLINK("https://yt3.ggpht.com/ytc/AOPolaTWQ7Zew9E7XY_sOtaLv3fdzEwdMxnUczEtO55DHA=s88-c-k-c0x00ffffff-no-rj")</f>
        <v>https://yt3.ggpht.com/ytc/AOPolaTWQ7Zew9E7XY_sOtaLv3fdzEwdMxnUczEtO55DHA=s88-c-k-c0x00ffffff-no-rj</v>
      </c>
      <c r="AL66" s="81">
        <v>263510</v>
      </c>
      <c r="AM66" s="81">
        <v>0</v>
      </c>
      <c r="AN66" s="81">
        <v>217</v>
      </c>
      <c r="AO66" s="81" t="b">
        <v>0</v>
      </c>
      <c r="AP66" s="81">
        <v>107</v>
      </c>
      <c r="AQ66" s="81"/>
      <c r="AR66" s="81"/>
      <c r="AS66" s="81" t="s">
        <v>1057</v>
      </c>
      <c r="AT66" s="83" t="str">
        <f>HYPERLINK("https://www.youtube.com/channel/UCt-cEUPgKELe_mjOcXAzCxw")</f>
        <v>https://www.youtube.com/channel/UCt-cEUPgKELe_mjOcXAzCxw</v>
      </c>
      <c r="AU66" s="81">
        <v>1</v>
      </c>
      <c r="AV66" s="49">
        <v>0</v>
      </c>
      <c r="AW66" s="50">
        <v>0</v>
      </c>
      <c r="AX66" s="49">
        <v>0</v>
      </c>
      <c r="AY66" s="50">
        <v>0</v>
      </c>
      <c r="AZ66" s="49">
        <v>0</v>
      </c>
      <c r="BA66" s="50">
        <v>0</v>
      </c>
      <c r="BB66" s="49">
        <v>5</v>
      </c>
      <c r="BC66" s="50">
        <v>31.25</v>
      </c>
      <c r="BD66" s="49">
        <v>16</v>
      </c>
      <c r="BE66" s="49"/>
      <c r="BF66" s="49"/>
      <c r="BG66" s="49"/>
      <c r="BH66" s="49"/>
      <c r="BI66" s="49"/>
      <c r="BJ66" s="49"/>
      <c r="BK66" s="115" t="s">
        <v>1109</v>
      </c>
      <c r="BL66" s="115" t="s">
        <v>1109</v>
      </c>
      <c r="BM66" s="115" t="s">
        <v>1238</v>
      </c>
      <c r="BN66" s="115" t="s">
        <v>1238</v>
      </c>
      <c r="BO66" s="2"/>
      <c r="BP66" s="3"/>
      <c r="BQ66" s="3"/>
      <c r="BR66" s="3"/>
      <c r="BS66" s="3"/>
    </row>
    <row r="67" spans="1:71" ht="15">
      <c r="A67" s="66" t="s">
        <v>285</v>
      </c>
      <c r="B67" s="67"/>
      <c r="C67" s="67"/>
      <c r="D67" s="68">
        <v>150</v>
      </c>
      <c r="E67" s="70"/>
      <c r="F67" s="103" t="str">
        <f>HYPERLINK("https://yt3.ggpht.com/ytc/AOPolaQ9p4ctCDgWur4dSwNnT1LMr-BSYVi1QGru_g=s88-c-k-c0x00ffffff-no-rj")</f>
        <v>https://yt3.ggpht.com/ytc/AOPolaQ9p4ctCDgWur4dSwNnT1LMr-BSYVi1QGru_g=s88-c-k-c0x00ffffff-no-rj</v>
      </c>
      <c r="G67" s="67"/>
      <c r="H67" s="71" t="s">
        <v>602</v>
      </c>
      <c r="I67" s="72"/>
      <c r="J67" s="72" t="s">
        <v>159</v>
      </c>
      <c r="K67" s="71" t="s">
        <v>602</v>
      </c>
      <c r="L67" s="75">
        <v>1</v>
      </c>
      <c r="M67" s="76">
        <v>619.0670776367188</v>
      </c>
      <c r="N67" s="76">
        <v>1998.220947265625</v>
      </c>
      <c r="O67" s="77"/>
      <c r="P67" s="78"/>
      <c r="Q67" s="78"/>
      <c r="R67" s="89"/>
      <c r="S67" s="49">
        <v>0</v>
      </c>
      <c r="T67" s="49">
        <v>1</v>
      </c>
      <c r="U67" s="50">
        <v>0</v>
      </c>
      <c r="V67" s="50">
        <v>0.256952</v>
      </c>
      <c r="W67" s="50">
        <v>0.071778</v>
      </c>
      <c r="X67" s="50">
        <v>0.004811</v>
      </c>
      <c r="Y67" s="50">
        <v>0</v>
      </c>
      <c r="Z67" s="50">
        <v>0</v>
      </c>
      <c r="AA67" s="73">
        <v>67</v>
      </c>
      <c r="AB67" s="73"/>
      <c r="AC67" s="74"/>
      <c r="AD67" s="81" t="s">
        <v>602</v>
      </c>
      <c r="AE67" s="81"/>
      <c r="AF67" s="81"/>
      <c r="AG67" s="81"/>
      <c r="AH67" s="81"/>
      <c r="AI67" s="81" t="s">
        <v>939</v>
      </c>
      <c r="AJ67" s="85">
        <v>43173.22326388889</v>
      </c>
      <c r="AK67" s="83" t="str">
        <f>HYPERLINK("https://yt3.ggpht.com/ytc/AOPolaQ9p4ctCDgWur4dSwNnT1LMr-BSYVi1QGru_g=s88-c-k-c0x00ffffff-no-rj")</f>
        <v>https://yt3.ggpht.com/ytc/AOPolaQ9p4ctCDgWur4dSwNnT1LMr-BSYVi1QGru_g=s88-c-k-c0x00ffffff-no-rj</v>
      </c>
      <c r="AL67" s="81">
        <v>0</v>
      </c>
      <c r="AM67" s="81">
        <v>0</v>
      </c>
      <c r="AN67" s="81">
        <v>2</v>
      </c>
      <c r="AO67" s="81" t="b">
        <v>0</v>
      </c>
      <c r="AP67" s="81">
        <v>0</v>
      </c>
      <c r="AQ67" s="81"/>
      <c r="AR67" s="81"/>
      <c r="AS67" s="81" t="s">
        <v>1057</v>
      </c>
      <c r="AT67" s="83" t="str">
        <f>HYPERLINK("https://www.youtube.com/channel/UCYwBJTolTeCZFMr8r775XeA")</f>
        <v>https://www.youtube.com/channel/UCYwBJTolTeCZFMr8r775XeA</v>
      </c>
      <c r="AU67" s="81">
        <v>1</v>
      </c>
      <c r="AV67" s="49">
        <v>1</v>
      </c>
      <c r="AW67" s="50">
        <v>5.2631578947368425</v>
      </c>
      <c r="AX67" s="49">
        <v>0</v>
      </c>
      <c r="AY67" s="50">
        <v>0</v>
      </c>
      <c r="AZ67" s="49">
        <v>0</v>
      </c>
      <c r="BA67" s="50">
        <v>0</v>
      </c>
      <c r="BB67" s="49">
        <v>7</v>
      </c>
      <c r="BC67" s="50">
        <v>36.8421052631579</v>
      </c>
      <c r="BD67" s="49">
        <v>19</v>
      </c>
      <c r="BE67" s="49"/>
      <c r="BF67" s="49"/>
      <c r="BG67" s="49"/>
      <c r="BH67" s="49"/>
      <c r="BI67" s="49"/>
      <c r="BJ67" s="49"/>
      <c r="BK67" s="115" t="s">
        <v>1110</v>
      </c>
      <c r="BL67" s="115" t="s">
        <v>1110</v>
      </c>
      <c r="BM67" s="115" t="s">
        <v>1239</v>
      </c>
      <c r="BN67" s="115" t="s">
        <v>1239</v>
      </c>
      <c r="BO67" s="2"/>
      <c r="BP67" s="3"/>
      <c r="BQ67" s="3"/>
      <c r="BR67" s="3"/>
      <c r="BS67" s="3"/>
    </row>
    <row r="68" spans="1:71" ht="15">
      <c r="A68" s="66" t="s">
        <v>286</v>
      </c>
      <c r="B68" s="67"/>
      <c r="C68" s="67"/>
      <c r="D68" s="68">
        <v>150</v>
      </c>
      <c r="E68" s="70"/>
      <c r="F68" s="103" t="str">
        <f>HYPERLINK("https://yt3.ggpht.com/ytc/AOPolaRwbB-Rxu3w4u914Erh8wd99HdyhKFfdUugoIop=s88-c-k-c0x00ffffff-no-rj")</f>
        <v>https://yt3.ggpht.com/ytc/AOPolaRwbB-Rxu3w4u914Erh8wd99HdyhKFfdUugoIop=s88-c-k-c0x00ffffff-no-rj</v>
      </c>
      <c r="G68" s="67"/>
      <c r="H68" s="71" t="s">
        <v>603</v>
      </c>
      <c r="I68" s="72"/>
      <c r="J68" s="72" t="s">
        <v>159</v>
      </c>
      <c r="K68" s="71" t="s">
        <v>603</v>
      </c>
      <c r="L68" s="75">
        <v>1</v>
      </c>
      <c r="M68" s="76">
        <v>1543.7843017578125</v>
      </c>
      <c r="N68" s="76">
        <v>9387.890625</v>
      </c>
      <c r="O68" s="77"/>
      <c r="P68" s="78"/>
      <c r="Q68" s="78"/>
      <c r="R68" s="89"/>
      <c r="S68" s="49">
        <v>0</v>
      </c>
      <c r="T68" s="49">
        <v>1</v>
      </c>
      <c r="U68" s="50">
        <v>0</v>
      </c>
      <c r="V68" s="50">
        <v>0.256952</v>
      </c>
      <c r="W68" s="50">
        <v>0.071778</v>
      </c>
      <c r="X68" s="50">
        <v>0.004811</v>
      </c>
      <c r="Y68" s="50">
        <v>0</v>
      </c>
      <c r="Z68" s="50">
        <v>0</v>
      </c>
      <c r="AA68" s="73">
        <v>68</v>
      </c>
      <c r="AB68" s="73"/>
      <c r="AC68" s="74"/>
      <c r="AD68" s="81" t="s">
        <v>603</v>
      </c>
      <c r="AE68" s="81"/>
      <c r="AF68" s="81"/>
      <c r="AG68" s="81"/>
      <c r="AH68" s="81"/>
      <c r="AI68" s="81" t="s">
        <v>940</v>
      </c>
      <c r="AJ68" s="85">
        <v>41356.4930787037</v>
      </c>
      <c r="AK68" s="83" t="str">
        <f>HYPERLINK("https://yt3.ggpht.com/ytc/AOPolaRwbB-Rxu3w4u914Erh8wd99HdyhKFfdUugoIop=s88-c-k-c0x00ffffff-no-rj")</f>
        <v>https://yt3.ggpht.com/ytc/AOPolaRwbB-Rxu3w4u914Erh8wd99HdyhKFfdUugoIop=s88-c-k-c0x00ffffff-no-rj</v>
      </c>
      <c r="AL68" s="81">
        <v>0</v>
      </c>
      <c r="AM68" s="81">
        <v>0</v>
      </c>
      <c r="AN68" s="81">
        <v>12</v>
      </c>
      <c r="AO68" s="81" t="b">
        <v>0</v>
      </c>
      <c r="AP68" s="81">
        <v>0</v>
      </c>
      <c r="AQ68" s="81"/>
      <c r="AR68" s="81"/>
      <c r="AS68" s="81" t="s">
        <v>1057</v>
      </c>
      <c r="AT68" s="83" t="str">
        <f>HYPERLINK("https://www.youtube.com/channel/UCaBeiVeg5hadiDDss6L5gtg")</f>
        <v>https://www.youtube.com/channel/UCaBeiVeg5hadiDDss6L5gtg</v>
      </c>
      <c r="AU68" s="81">
        <v>1</v>
      </c>
      <c r="AV68" s="49">
        <v>1</v>
      </c>
      <c r="AW68" s="50">
        <v>14.285714285714286</v>
      </c>
      <c r="AX68" s="49">
        <v>0</v>
      </c>
      <c r="AY68" s="50">
        <v>0</v>
      </c>
      <c r="AZ68" s="49">
        <v>0</v>
      </c>
      <c r="BA68" s="50">
        <v>0</v>
      </c>
      <c r="BB68" s="49">
        <v>2</v>
      </c>
      <c r="BC68" s="50">
        <v>28.571428571428573</v>
      </c>
      <c r="BD68" s="49">
        <v>7</v>
      </c>
      <c r="BE68" s="49"/>
      <c r="BF68" s="49"/>
      <c r="BG68" s="49"/>
      <c r="BH68" s="49"/>
      <c r="BI68" s="49"/>
      <c r="BJ68" s="49"/>
      <c r="BK68" s="115" t="s">
        <v>1111</v>
      </c>
      <c r="BL68" s="115" t="s">
        <v>1111</v>
      </c>
      <c r="BM68" s="115" t="s">
        <v>1240</v>
      </c>
      <c r="BN68" s="115" t="s">
        <v>1240</v>
      </c>
      <c r="BO68" s="2"/>
      <c r="BP68" s="3"/>
      <c r="BQ68" s="3"/>
      <c r="BR68" s="3"/>
      <c r="BS68" s="3"/>
    </row>
    <row r="69" spans="1:71" ht="15">
      <c r="A69" s="66" t="s">
        <v>287</v>
      </c>
      <c r="B69" s="67"/>
      <c r="C69" s="67"/>
      <c r="D69" s="68">
        <v>150</v>
      </c>
      <c r="E69" s="70"/>
      <c r="F69" s="103" t="str">
        <f>HYPERLINK("https://yt3.ggpht.com/janBkGDKzNZdR2hU9e97YYho1s31Ti2kO3CxKFkRiTW2VnG-9-wEMLT6Pd0_0nC6J45T6Tm6lII=s88-c-k-c0x00ffffff-no-rj")</f>
        <v>https://yt3.ggpht.com/janBkGDKzNZdR2hU9e97YYho1s31Ti2kO3CxKFkRiTW2VnG-9-wEMLT6Pd0_0nC6J45T6Tm6lII=s88-c-k-c0x00ffffff-no-rj</v>
      </c>
      <c r="G69" s="67"/>
      <c r="H69" s="71" t="s">
        <v>604</v>
      </c>
      <c r="I69" s="72"/>
      <c r="J69" s="72" t="s">
        <v>159</v>
      </c>
      <c r="K69" s="71" t="s">
        <v>604</v>
      </c>
      <c r="L69" s="75">
        <v>1</v>
      </c>
      <c r="M69" s="76">
        <v>140.48487854003906</v>
      </c>
      <c r="N69" s="76">
        <v>4796.03125</v>
      </c>
      <c r="O69" s="77"/>
      <c r="P69" s="78"/>
      <c r="Q69" s="78"/>
      <c r="R69" s="89"/>
      <c r="S69" s="49">
        <v>0</v>
      </c>
      <c r="T69" s="49">
        <v>1</v>
      </c>
      <c r="U69" s="50">
        <v>0</v>
      </c>
      <c r="V69" s="50">
        <v>0.256952</v>
      </c>
      <c r="W69" s="50">
        <v>0.071778</v>
      </c>
      <c r="X69" s="50">
        <v>0.004811</v>
      </c>
      <c r="Y69" s="50">
        <v>0</v>
      </c>
      <c r="Z69" s="50">
        <v>0</v>
      </c>
      <c r="AA69" s="73">
        <v>69</v>
      </c>
      <c r="AB69" s="73"/>
      <c r="AC69" s="74"/>
      <c r="AD69" s="81" t="s">
        <v>604</v>
      </c>
      <c r="AE69" s="81" t="s">
        <v>831</v>
      </c>
      <c r="AF69" s="81"/>
      <c r="AG69" s="81"/>
      <c r="AH69" s="81"/>
      <c r="AI69" s="81" t="s">
        <v>941</v>
      </c>
      <c r="AJ69" s="85">
        <v>41531.79193287037</v>
      </c>
      <c r="AK69" s="83" t="str">
        <f>HYPERLINK("https://yt3.ggpht.com/janBkGDKzNZdR2hU9e97YYho1s31Ti2kO3CxKFkRiTW2VnG-9-wEMLT6Pd0_0nC6J45T6Tm6lII=s88-c-k-c0x00ffffff-no-rj")</f>
        <v>https://yt3.ggpht.com/janBkGDKzNZdR2hU9e97YYho1s31Ti2kO3CxKFkRiTW2VnG-9-wEMLT6Pd0_0nC6J45T6Tm6lII=s88-c-k-c0x00ffffff-no-rj</v>
      </c>
      <c r="AL69" s="81">
        <v>210553</v>
      </c>
      <c r="AM69" s="81">
        <v>0</v>
      </c>
      <c r="AN69" s="81">
        <v>2070</v>
      </c>
      <c r="AO69" s="81" t="b">
        <v>0</v>
      </c>
      <c r="AP69" s="81">
        <v>8</v>
      </c>
      <c r="AQ69" s="81"/>
      <c r="AR69" s="81"/>
      <c r="AS69" s="81" t="s">
        <v>1057</v>
      </c>
      <c r="AT69" s="83" t="str">
        <f>HYPERLINK("https://www.youtube.com/channel/UC8WjHLxKVyYykE382cYP60w")</f>
        <v>https://www.youtube.com/channel/UC8WjHLxKVyYykE382cYP60w</v>
      </c>
      <c r="AU69" s="81">
        <v>1</v>
      </c>
      <c r="AV69" s="49">
        <v>1</v>
      </c>
      <c r="AW69" s="50">
        <v>12.5</v>
      </c>
      <c r="AX69" s="49">
        <v>0</v>
      </c>
      <c r="AY69" s="50">
        <v>0</v>
      </c>
      <c r="AZ69" s="49">
        <v>0</v>
      </c>
      <c r="BA69" s="50">
        <v>0</v>
      </c>
      <c r="BB69" s="49">
        <v>4</v>
      </c>
      <c r="BC69" s="50">
        <v>50</v>
      </c>
      <c r="BD69" s="49">
        <v>8</v>
      </c>
      <c r="BE69" s="49"/>
      <c r="BF69" s="49"/>
      <c r="BG69" s="49"/>
      <c r="BH69" s="49"/>
      <c r="BI69" s="49"/>
      <c r="BJ69" s="49"/>
      <c r="BK69" s="115" t="s">
        <v>1112</v>
      </c>
      <c r="BL69" s="115" t="s">
        <v>1112</v>
      </c>
      <c r="BM69" s="115" t="s">
        <v>1241</v>
      </c>
      <c r="BN69" s="115" t="s">
        <v>1241</v>
      </c>
      <c r="BO69" s="2"/>
      <c r="BP69" s="3"/>
      <c r="BQ69" s="3"/>
      <c r="BR69" s="3"/>
      <c r="BS69" s="3"/>
    </row>
    <row r="70" spans="1:71" ht="15">
      <c r="A70" s="66" t="s">
        <v>288</v>
      </c>
      <c r="B70" s="67"/>
      <c r="C70" s="67"/>
      <c r="D70" s="68">
        <v>150</v>
      </c>
      <c r="E70" s="70"/>
      <c r="F70" s="103" t="str">
        <f>HYPERLINK("https://yt3.ggpht.com/ytc/AOPolaR-UnTbCZXNKZ1ZtgyqjuUL1Z5XPkrC3nvZm0ZOvA=s88-c-k-c0x00ffffff-no-rj")</f>
        <v>https://yt3.ggpht.com/ytc/AOPolaR-UnTbCZXNKZ1ZtgyqjuUL1Z5XPkrC3nvZm0ZOvA=s88-c-k-c0x00ffffff-no-rj</v>
      </c>
      <c r="G70" s="67"/>
      <c r="H70" s="71" t="s">
        <v>605</v>
      </c>
      <c r="I70" s="72"/>
      <c r="J70" s="72" t="s">
        <v>159</v>
      </c>
      <c r="K70" s="71" t="s">
        <v>605</v>
      </c>
      <c r="L70" s="75">
        <v>1</v>
      </c>
      <c r="M70" s="76">
        <v>692.0318603515625</v>
      </c>
      <c r="N70" s="76">
        <v>8052.78515625</v>
      </c>
      <c r="O70" s="77"/>
      <c r="P70" s="78"/>
      <c r="Q70" s="78"/>
      <c r="R70" s="89"/>
      <c r="S70" s="49">
        <v>0</v>
      </c>
      <c r="T70" s="49">
        <v>1</v>
      </c>
      <c r="U70" s="50">
        <v>0</v>
      </c>
      <c r="V70" s="50">
        <v>0.256952</v>
      </c>
      <c r="W70" s="50">
        <v>0.071778</v>
      </c>
      <c r="X70" s="50">
        <v>0.004811</v>
      </c>
      <c r="Y70" s="50">
        <v>0</v>
      </c>
      <c r="Z70" s="50">
        <v>0</v>
      </c>
      <c r="AA70" s="73">
        <v>70</v>
      </c>
      <c r="AB70" s="73"/>
      <c r="AC70" s="74"/>
      <c r="AD70" s="81" t="s">
        <v>605</v>
      </c>
      <c r="AE70" s="81"/>
      <c r="AF70" s="81"/>
      <c r="AG70" s="81"/>
      <c r="AH70" s="81"/>
      <c r="AI70" s="81" t="s">
        <v>942</v>
      </c>
      <c r="AJ70" s="85">
        <v>42205.1928587963</v>
      </c>
      <c r="AK70" s="83" t="str">
        <f>HYPERLINK("https://yt3.ggpht.com/ytc/AOPolaR-UnTbCZXNKZ1ZtgyqjuUL1Z5XPkrC3nvZm0ZOvA=s88-c-k-c0x00ffffff-no-rj")</f>
        <v>https://yt3.ggpht.com/ytc/AOPolaR-UnTbCZXNKZ1ZtgyqjuUL1Z5XPkrC3nvZm0ZOvA=s88-c-k-c0x00ffffff-no-rj</v>
      </c>
      <c r="AL70" s="81">
        <v>0</v>
      </c>
      <c r="AM70" s="81">
        <v>0</v>
      </c>
      <c r="AN70" s="81">
        <v>1</v>
      </c>
      <c r="AO70" s="81" t="b">
        <v>0</v>
      </c>
      <c r="AP70" s="81">
        <v>0</v>
      </c>
      <c r="AQ70" s="81"/>
      <c r="AR70" s="81"/>
      <c r="AS70" s="81" t="s">
        <v>1057</v>
      </c>
      <c r="AT70" s="83" t="str">
        <f>HYPERLINK("https://www.youtube.com/channel/UCfArVUQJlz5wMyjQlHvz3jA")</f>
        <v>https://www.youtube.com/channel/UCfArVUQJlz5wMyjQlHvz3jA</v>
      </c>
      <c r="AU70" s="81">
        <v>1</v>
      </c>
      <c r="AV70" s="49">
        <v>1</v>
      </c>
      <c r="AW70" s="50">
        <v>7.142857142857143</v>
      </c>
      <c r="AX70" s="49">
        <v>0</v>
      </c>
      <c r="AY70" s="50">
        <v>0</v>
      </c>
      <c r="AZ70" s="49">
        <v>0</v>
      </c>
      <c r="BA70" s="50">
        <v>0</v>
      </c>
      <c r="BB70" s="49">
        <v>2</v>
      </c>
      <c r="BC70" s="50">
        <v>14.285714285714286</v>
      </c>
      <c r="BD70" s="49">
        <v>14</v>
      </c>
      <c r="BE70" s="49"/>
      <c r="BF70" s="49"/>
      <c r="BG70" s="49"/>
      <c r="BH70" s="49"/>
      <c r="BI70" s="49"/>
      <c r="BJ70" s="49"/>
      <c r="BK70" s="115" t="s">
        <v>1113</v>
      </c>
      <c r="BL70" s="115" t="s">
        <v>1113</v>
      </c>
      <c r="BM70" s="115" t="s">
        <v>1242</v>
      </c>
      <c r="BN70" s="115" t="s">
        <v>1242</v>
      </c>
      <c r="BO70" s="2"/>
      <c r="BP70" s="3"/>
      <c r="BQ70" s="3"/>
      <c r="BR70" s="3"/>
      <c r="BS70" s="3"/>
    </row>
    <row r="71" spans="1:71" ht="15">
      <c r="A71" s="66" t="s">
        <v>289</v>
      </c>
      <c r="B71" s="67"/>
      <c r="C71" s="67"/>
      <c r="D71" s="68">
        <v>150</v>
      </c>
      <c r="E71" s="70"/>
      <c r="F71" s="103" t="str">
        <f>HYPERLINK("https://yt3.ggpht.com/ytc/AOPolaTgf1y7BwE7mxjWAVfgYRtZx-dxGYZRhG_igUtBOQ=s88-c-k-c0x00ffffff-no-rj")</f>
        <v>https://yt3.ggpht.com/ytc/AOPolaTgf1y7BwE7mxjWAVfgYRtZx-dxGYZRhG_igUtBOQ=s88-c-k-c0x00ffffff-no-rj</v>
      </c>
      <c r="G71" s="67"/>
      <c r="H71" s="71" t="s">
        <v>606</v>
      </c>
      <c r="I71" s="72"/>
      <c r="J71" s="72" t="s">
        <v>159</v>
      </c>
      <c r="K71" s="71" t="s">
        <v>606</v>
      </c>
      <c r="L71" s="75">
        <v>1</v>
      </c>
      <c r="M71" s="76">
        <v>5064.93701171875</v>
      </c>
      <c r="N71" s="76">
        <v>4189.03173828125</v>
      </c>
      <c r="O71" s="77"/>
      <c r="P71" s="78"/>
      <c r="Q71" s="78"/>
      <c r="R71" s="89"/>
      <c r="S71" s="49">
        <v>0</v>
      </c>
      <c r="T71" s="49">
        <v>1</v>
      </c>
      <c r="U71" s="50">
        <v>0</v>
      </c>
      <c r="V71" s="50">
        <v>0.256952</v>
      </c>
      <c r="W71" s="50">
        <v>0.071778</v>
      </c>
      <c r="X71" s="50">
        <v>0.004811</v>
      </c>
      <c r="Y71" s="50">
        <v>0</v>
      </c>
      <c r="Z71" s="50">
        <v>0</v>
      </c>
      <c r="AA71" s="73">
        <v>71</v>
      </c>
      <c r="AB71" s="73"/>
      <c r="AC71" s="74"/>
      <c r="AD71" s="81" t="s">
        <v>606</v>
      </c>
      <c r="AE71" s="81"/>
      <c r="AF71" s="81"/>
      <c r="AG71" s="81"/>
      <c r="AH71" s="81"/>
      <c r="AI71" s="81" t="s">
        <v>943</v>
      </c>
      <c r="AJ71" s="85">
        <v>42254.97541666667</v>
      </c>
      <c r="AK71" s="83" t="str">
        <f>HYPERLINK("https://yt3.ggpht.com/ytc/AOPolaTgf1y7BwE7mxjWAVfgYRtZx-dxGYZRhG_igUtBOQ=s88-c-k-c0x00ffffff-no-rj")</f>
        <v>https://yt3.ggpht.com/ytc/AOPolaTgf1y7BwE7mxjWAVfgYRtZx-dxGYZRhG_igUtBOQ=s88-c-k-c0x00ffffff-no-rj</v>
      </c>
      <c r="AL71" s="81">
        <v>0</v>
      </c>
      <c r="AM71" s="81">
        <v>0</v>
      </c>
      <c r="AN71" s="81">
        <v>6</v>
      </c>
      <c r="AO71" s="81" t="b">
        <v>0</v>
      </c>
      <c r="AP71" s="81">
        <v>0</v>
      </c>
      <c r="AQ71" s="81"/>
      <c r="AR71" s="81"/>
      <c r="AS71" s="81" t="s">
        <v>1057</v>
      </c>
      <c r="AT71" s="83" t="str">
        <f>HYPERLINK("https://www.youtube.com/channel/UCO8OT3BRG-5wBT8iw221U2A")</f>
        <v>https://www.youtube.com/channel/UCO8OT3BRG-5wBT8iw221U2A</v>
      </c>
      <c r="AU71" s="81">
        <v>1</v>
      </c>
      <c r="AV71" s="49">
        <v>2</v>
      </c>
      <c r="AW71" s="50">
        <v>18.181818181818183</v>
      </c>
      <c r="AX71" s="49">
        <v>0</v>
      </c>
      <c r="AY71" s="50">
        <v>0</v>
      </c>
      <c r="AZ71" s="49">
        <v>0</v>
      </c>
      <c r="BA71" s="50">
        <v>0</v>
      </c>
      <c r="BB71" s="49">
        <v>1</v>
      </c>
      <c r="BC71" s="50">
        <v>9.090909090909092</v>
      </c>
      <c r="BD71" s="49">
        <v>11</v>
      </c>
      <c r="BE71" s="49"/>
      <c r="BF71" s="49"/>
      <c r="BG71" s="49"/>
      <c r="BH71" s="49"/>
      <c r="BI71" s="49"/>
      <c r="BJ71" s="49"/>
      <c r="BK71" s="115" t="s">
        <v>1114</v>
      </c>
      <c r="BL71" s="115" t="s">
        <v>1114</v>
      </c>
      <c r="BM71" s="115" t="s">
        <v>1243</v>
      </c>
      <c r="BN71" s="115" t="s">
        <v>1243</v>
      </c>
      <c r="BO71" s="2"/>
      <c r="BP71" s="3"/>
      <c r="BQ71" s="3"/>
      <c r="BR71" s="3"/>
      <c r="BS71" s="3"/>
    </row>
    <row r="72" spans="1:71" ht="15">
      <c r="A72" s="66" t="s">
        <v>290</v>
      </c>
      <c r="B72" s="67"/>
      <c r="C72" s="67"/>
      <c r="D72" s="68">
        <v>150</v>
      </c>
      <c r="E72" s="70"/>
      <c r="F72" s="103" t="str">
        <f>HYPERLINK("https://yt3.ggpht.com/ytc/AOPolaRWhXtnO-DsMol4s04ZMqIj6cJi1Ejj1stjUw38UQ=s88-c-k-c0x00ffffff-no-rj")</f>
        <v>https://yt3.ggpht.com/ytc/AOPolaRWhXtnO-DsMol4s04ZMqIj6cJi1Ejj1stjUw38UQ=s88-c-k-c0x00ffffff-no-rj</v>
      </c>
      <c r="G72" s="67"/>
      <c r="H72" s="71" t="s">
        <v>607</v>
      </c>
      <c r="I72" s="72"/>
      <c r="J72" s="72" t="s">
        <v>159</v>
      </c>
      <c r="K72" s="71" t="s">
        <v>607</v>
      </c>
      <c r="L72" s="75">
        <v>1</v>
      </c>
      <c r="M72" s="76">
        <v>548.2310180664062</v>
      </c>
      <c r="N72" s="76">
        <v>5332.50927734375</v>
      </c>
      <c r="O72" s="77"/>
      <c r="P72" s="78"/>
      <c r="Q72" s="78"/>
      <c r="R72" s="89"/>
      <c r="S72" s="49">
        <v>0</v>
      </c>
      <c r="T72" s="49">
        <v>1</v>
      </c>
      <c r="U72" s="50">
        <v>0</v>
      </c>
      <c r="V72" s="50">
        <v>0.256952</v>
      </c>
      <c r="W72" s="50">
        <v>0.071778</v>
      </c>
      <c r="X72" s="50">
        <v>0.004811</v>
      </c>
      <c r="Y72" s="50">
        <v>0</v>
      </c>
      <c r="Z72" s="50">
        <v>0</v>
      </c>
      <c r="AA72" s="73">
        <v>72</v>
      </c>
      <c r="AB72" s="73"/>
      <c r="AC72" s="74"/>
      <c r="AD72" s="81" t="s">
        <v>607</v>
      </c>
      <c r="AE72" s="81"/>
      <c r="AF72" s="81"/>
      <c r="AG72" s="81"/>
      <c r="AH72" s="81"/>
      <c r="AI72" s="81" t="s">
        <v>944</v>
      </c>
      <c r="AJ72" s="85">
        <v>43556.82991898148</v>
      </c>
      <c r="AK72" s="83" t="str">
        <f>HYPERLINK("https://yt3.ggpht.com/ytc/AOPolaRWhXtnO-DsMol4s04ZMqIj6cJi1Ejj1stjUw38UQ=s88-c-k-c0x00ffffff-no-rj")</f>
        <v>https://yt3.ggpht.com/ytc/AOPolaRWhXtnO-DsMol4s04ZMqIj6cJi1Ejj1stjUw38UQ=s88-c-k-c0x00ffffff-no-rj</v>
      </c>
      <c r="AL72" s="81">
        <v>0</v>
      </c>
      <c r="AM72" s="81">
        <v>0</v>
      </c>
      <c r="AN72" s="81">
        <v>9</v>
      </c>
      <c r="AO72" s="81" t="b">
        <v>0</v>
      </c>
      <c r="AP72" s="81">
        <v>0</v>
      </c>
      <c r="AQ72" s="81"/>
      <c r="AR72" s="81"/>
      <c r="AS72" s="81" t="s">
        <v>1057</v>
      </c>
      <c r="AT72" s="83" t="str">
        <f>HYPERLINK("https://www.youtube.com/channel/UCGH_hGQtNbU45-QrTWyoI-Q")</f>
        <v>https://www.youtube.com/channel/UCGH_hGQtNbU45-QrTWyoI-Q</v>
      </c>
      <c r="AU72" s="81">
        <v>1</v>
      </c>
      <c r="AV72" s="49">
        <v>1</v>
      </c>
      <c r="AW72" s="50">
        <v>1.9230769230769231</v>
      </c>
      <c r="AX72" s="49">
        <v>0</v>
      </c>
      <c r="AY72" s="50">
        <v>0</v>
      </c>
      <c r="AZ72" s="49">
        <v>0</v>
      </c>
      <c r="BA72" s="50">
        <v>0</v>
      </c>
      <c r="BB72" s="49">
        <v>18</v>
      </c>
      <c r="BC72" s="50">
        <v>34.61538461538461</v>
      </c>
      <c r="BD72" s="49">
        <v>52</v>
      </c>
      <c r="BE72" s="49"/>
      <c r="BF72" s="49"/>
      <c r="BG72" s="49"/>
      <c r="BH72" s="49"/>
      <c r="BI72" s="49"/>
      <c r="BJ72" s="49"/>
      <c r="BK72" s="115" t="s">
        <v>1680</v>
      </c>
      <c r="BL72" s="115" t="s">
        <v>1680</v>
      </c>
      <c r="BM72" s="115" t="s">
        <v>1686</v>
      </c>
      <c r="BN72" s="115" t="s">
        <v>1686</v>
      </c>
      <c r="BO72" s="2"/>
      <c r="BP72" s="3"/>
      <c r="BQ72" s="3"/>
      <c r="BR72" s="3"/>
      <c r="BS72" s="3"/>
    </row>
    <row r="73" spans="1:71" ht="15">
      <c r="A73" s="66" t="s">
        <v>291</v>
      </c>
      <c r="B73" s="67"/>
      <c r="C73" s="67"/>
      <c r="D73" s="68">
        <v>150</v>
      </c>
      <c r="E73" s="70"/>
      <c r="F73" s="103" t="str">
        <f>HYPERLINK("https://yt3.ggpht.com/ytc/AOPolaSQI-VIpVKc-tqA3pupwKGHa_qwyH0SpAdpg3aTGg=s88-c-k-c0x00ffffff-no-rj")</f>
        <v>https://yt3.ggpht.com/ytc/AOPolaSQI-VIpVKc-tqA3pupwKGHa_qwyH0SpAdpg3aTGg=s88-c-k-c0x00ffffff-no-rj</v>
      </c>
      <c r="G73" s="67"/>
      <c r="H73" s="71" t="s">
        <v>608</v>
      </c>
      <c r="I73" s="72"/>
      <c r="J73" s="72" t="s">
        <v>159</v>
      </c>
      <c r="K73" s="71" t="s">
        <v>608</v>
      </c>
      <c r="L73" s="75">
        <v>1</v>
      </c>
      <c r="M73" s="76">
        <v>2468.637451171875</v>
      </c>
      <c r="N73" s="76">
        <v>3677.591064453125</v>
      </c>
      <c r="O73" s="77"/>
      <c r="P73" s="78"/>
      <c r="Q73" s="78"/>
      <c r="R73" s="89"/>
      <c r="S73" s="49">
        <v>0</v>
      </c>
      <c r="T73" s="49">
        <v>1</v>
      </c>
      <c r="U73" s="50">
        <v>0</v>
      </c>
      <c r="V73" s="50">
        <v>0.256952</v>
      </c>
      <c r="W73" s="50">
        <v>0.071778</v>
      </c>
      <c r="X73" s="50">
        <v>0.004811</v>
      </c>
      <c r="Y73" s="50">
        <v>0</v>
      </c>
      <c r="Z73" s="50">
        <v>0</v>
      </c>
      <c r="AA73" s="73">
        <v>73</v>
      </c>
      <c r="AB73" s="73"/>
      <c r="AC73" s="74"/>
      <c r="AD73" s="81" t="s">
        <v>608</v>
      </c>
      <c r="AE73" s="81"/>
      <c r="AF73" s="81"/>
      <c r="AG73" s="81"/>
      <c r="AH73" s="81"/>
      <c r="AI73" s="81" t="s">
        <v>945</v>
      </c>
      <c r="AJ73" s="85">
        <v>41739.14351851852</v>
      </c>
      <c r="AK73" s="83" t="str">
        <f>HYPERLINK("https://yt3.ggpht.com/ytc/AOPolaSQI-VIpVKc-tqA3pupwKGHa_qwyH0SpAdpg3aTGg=s88-c-k-c0x00ffffff-no-rj")</f>
        <v>https://yt3.ggpht.com/ytc/AOPolaSQI-VIpVKc-tqA3pupwKGHa_qwyH0SpAdpg3aTGg=s88-c-k-c0x00ffffff-no-rj</v>
      </c>
      <c r="AL73" s="81">
        <v>0</v>
      </c>
      <c r="AM73" s="81">
        <v>0</v>
      </c>
      <c r="AN73" s="81">
        <v>11</v>
      </c>
      <c r="AO73" s="81" t="b">
        <v>0</v>
      </c>
      <c r="AP73" s="81">
        <v>0</v>
      </c>
      <c r="AQ73" s="81"/>
      <c r="AR73" s="81"/>
      <c r="AS73" s="81" t="s">
        <v>1057</v>
      </c>
      <c r="AT73" s="83" t="str">
        <f>HYPERLINK("https://www.youtube.com/channel/UC_ZD1HujKRBFY4iOvPzYGdA")</f>
        <v>https://www.youtube.com/channel/UC_ZD1HujKRBFY4iOvPzYGdA</v>
      </c>
      <c r="AU73" s="81">
        <v>1</v>
      </c>
      <c r="AV73" s="49">
        <v>0</v>
      </c>
      <c r="AW73" s="50">
        <v>0</v>
      </c>
      <c r="AX73" s="49">
        <v>1</v>
      </c>
      <c r="AY73" s="50">
        <v>10</v>
      </c>
      <c r="AZ73" s="49">
        <v>0</v>
      </c>
      <c r="BA73" s="50">
        <v>0</v>
      </c>
      <c r="BB73" s="49">
        <v>3</v>
      </c>
      <c r="BC73" s="50">
        <v>30</v>
      </c>
      <c r="BD73" s="49">
        <v>10</v>
      </c>
      <c r="BE73" s="49"/>
      <c r="BF73" s="49"/>
      <c r="BG73" s="49"/>
      <c r="BH73" s="49"/>
      <c r="BI73" s="49"/>
      <c r="BJ73" s="49"/>
      <c r="BK73" s="115" t="s">
        <v>1115</v>
      </c>
      <c r="BL73" s="115" t="s">
        <v>1115</v>
      </c>
      <c r="BM73" s="115" t="s">
        <v>1244</v>
      </c>
      <c r="BN73" s="115" t="s">
        <v>1244</v>
      </c>
      <c r="BO73" s="2"/>
      <c r="BP73" s="3"/>
      <c r="BQ73" s="3"/>
      <c r="BR73" s="3"/>
      <c r="BS73" s="3"/>
    </row>
    <row r="74" spans="1:71" ht="15">
      <c r="A74" s="66" t="s">
        <v>292</v>
      </c>
      <c r="B74" s="67"/>
      <c r="C74" s="67"/>
      <c r="D74" s="68">
        <v>150</v>
      </c>
      <c r="E74" s="70"/>
      <c r="F74" s="103" t="str">
        <f>HYPERLINK("https://yt3.ggpht.com/ytc/AOPolaRD5sq5oxUv3hoQMXXFw8P8uEtk4A_wyNarCLSbNg=s88-c-k-c0x00ffffff-no-rj")</f>
        <v>https://yt3.ggpht.com/ytc/AOPolaRD5sq5oxUv3hoQMXXFw8P8uEtk4A_wyNarCLSbNg=s88-c-k-c0x00ffffff-no-rj</v>
      </c>
      <c r="G74" s="67"/>
      <c r="H74" s="71" t="s">
        <v>609</v>
      </c>
      <c r="I74" s="72"/>
      <c r="J74" s="72" t="s">
        <v>159</v>
      </c>
      <c r="K74" s="71" t="s">
        <v>609</v>
      </c>
      <c r="L74" s="75">
        <v>1</v>
      </c>
      <c r="M74" s="76">
        <v>4981.50146484375</v>
      </c>
      <c r="N74" s="76">
        <v>3541.485595703125</v>
      </c>
      <c r="O74" s="77"/>
      <c r="P74" s="78"/>
      <c r="Q74" s="78"/>
      <c r="R74" s="89"/>
      <c r="S74" s="49">
        <v>0</v>
      </c>
      <c r="T74" s="49">
        <v>1</v>
      </c>
      <c r="U74" s="50">
        <v>0</v>
      </c>
      <c r="V74" s="50">
        <v>0.256952</v>
      </c>
      <c r="W74" s="50">
        <v>0.071778</v>
      </c>
      <c r="X74" s="50">
        <v>0.004811</v>
      </c>
      <c r="Y74" s="50">
        <v>0</v>
      </c>
      <c r="Z74" s="50">
        <v>0</v>
      </c>
      <c r="AA74" s="73">
        <v>74</v>
      </c>
      <c r="AB74" s="73"/>
      <c r="AC74" s="74"/>
      <c r="AD74" s="81" t="s">
        <v>609</v>
      </c>
      <c r="AE74" s="81"/>
      <c r="AF74" s="81"/>
      <c r="AG74" s="81"/>
      <c r="AH74" s="81"/>
      <c r="AI74" s="81" t="s">
        <v>946</v>
      </c>
      <c r="AJ74" s="85">
        <v>40783.18834490741</v>
      </c>
      <c r="AK74" s="83" t="str">
        <f>HYPERLINK("https://yt3.ggpht.com/ytc/AOPolaRD5sq5oxUv3hoQMXXFw8P8uEtk4A_wyNarCLSbNg=s88-c-k-c0x00ffffff-no-rj")</f>
        <v>https://yt3.ggpht.com/ytc/AOPolaRD5sq5oxUv3hoQMXXFw8P8uEtk4A_wyNarCLSbNg=s88-c-k-c0x00ffffff-no-rj</v>
      </c>
      <c r="AL74" s="81">
        <v>211</v>
      </c>
      <c r="AM74" s="81">
        <v>0</v>
      </c>
      <c r="AN74" s="81">
        <v>27</v>
      </c>
      <c r="AO74" s="81" t="b">
        <v>0</v>
      </c>
      <c r="AP74" s="81">
        <v>8</v>
      </c>
      <c r="AQ74" s="81"/>
      <c r="AR74" s="81"/>
      <c r="AS74" s="81" t="s">
        <v>1057</v>
      </c>
      <c r="AT74" s="83" t="str">
        <f>HYPERLINK("https://www.youtube.com/channel/UCXaUIMYGBNzAIe4a7bt88ng")</f>
        <v>https://www.youtube.com/channel/UCXaUIMYGBNzAIe4a7bt88ng</v>
      </c>
      <c r="AU74" s="81">
        <v>1</v>
      </c>
      <c r="AV74" s="49">
        <v>0</v>
      </c>
      <c r="AW74" s="50">
        <v>0</v>
      </c>
      <c r="AX74" s="49">
        <v>2</v>
      </c>
      <c r="AY74" s="50">
        <v>9.523809523809524</v>
      </c>
      <c r="AZ74" s="49">
        <v>0</v>
      </c>
      <c r="BA74" s="50">
        <v>0</v>
      </c>
      <c r="BB74" s="49">
        <v>6</v>
      </c>
      <c r="BC74" s="50">
        <v>28.571428571428573</v>
      </c>
      <c r="BD74" s="49">
        <v>21</v>
      </c>
      <c r="BE74" s="49"/>
      <c r="BF74" s="49"/>
      <c r="BG74" s="49"/>
      <c r="BH74" s="49"/>
      <c r="BI74" s="49"/>
      <c r="BJ74" s="49"/>
      <c r="BK74" s="115" t="s">
        <v>1116</v>
      </c>
      <c r="BL74" s="115" t="s">
        <v>1116</v>
      </c>
      <c r="BM74" s="115" t="s">
        <v>1245</v>
      </c>
      <c r="BN74" s="115" t="s">
        <v>1245</v>
      </c>
      <c r="BO74" s="2"/>
      <c r="BP74" s="3"/>
      <c r="BQ74" s="3"/>
      <c r="BR74" s="3"/>
      <c r="BS74" s="3"/>
    </row>
    <row r="75" spans="1:71" ht="15">
      <c r="A75" s="66" t="s">
        <v>293</v>
      </c>
      <c r="B75" s="67"/>
      <c r="C75" s="67"/>
      <c r="D75" s="68">
        <v>150</v>
      </c>
      <c r="E75" s="70"/>
      <c r="F75" s="103" t="str">
        <f>HYPERLINK("https://yt3.ggpht.com/GALvbrUNrIaHr6FLORPtD0X55R2yzqA7YVPgoyrPhXJSlNjNGHhFwPoGs3YBfyaGv29y6s3Vfg=s88-c-k-c0x00ffffff-no-rj")</f>
        <v>https://yt3.ggpht.com/GALvbrUNrIaHr6FLORPtD0X55R2yzqA7YVPgoyrPhXJSlNjNGHhFwPoGs3YBfyaGv29y6s3Vfg=s88-c-k-c0x00ffffff-no-rj</v>
      </c>
      <c r="G75" s="67"/>
      <c r="H75" s="71" t="s">
        <v>610</v>
      </c>
      <c r="I75" s="72"/>
      <c r="J75" s="72" t="s">
        <v>159</v>
      </c>
      <c r="K75" s="71" t="s">
        <v>610</v>
      </c>
      <c r="L75" s="75">
        <v>1</v>
      </c>
      <c r="M75" s="76">
        <v>1856.457275390625</v>
      </c>
      <c r="N75" s="76">
        <v>3238.2958984375</v>
      </c>
      <c r="O75" s="77"/>
      <c r="P75" s="78"/>
      <c r="Q75" s="78"/>
      <c r="R75" s="89"/>
      <c r="S75" s="49">
        <v>0</v>
      </c>
      <c r="T75" s="49">
        <v>1</v>
      </c>
      <c r="U75" s="50">
        <v>0</v>
      </c>
      <c r="V75" s="50">
        <v>0.256952</v>
      </c>
      <c r="W75" s="50">
        <v>0.071778</v>
      </c>
      <c r="X75" s="50">
        <v>0.004811</v>
      </c>
      <c r="Y75" s="50">
        <v>0</v>
      </c>
      <c r="Z75" s="50">
        <v>0</v>
      </c>
      <c r="AA75" s="73">
        <v>75</v>
      </c>
      <c r="AB75" s="73"/>
      <c r="AC75" s="74"/>
      <c r="AD75" s="81" t="s">
        <v>610</v>
      </c>
      <c r="AE75" s="81"/>
      <c r="AF75" s="81"/>
      <c r="AG75" s="81"/>
      <c r="AH75" s="81"/>
      <c r="AI75" s="81" t="s">
        <v>947</v>
      </c>
      <c r="AJ75" s="85">
        <v>43363.074791666666</v>
      </c>
      <c r="AK75" s="83" t="str">
        <f>HYPERLINK("https://yt3.ggpht.com/GALvbrUNrIaHr6FLORPtD0X55R2yzqA7YVPgoyrPhXJSlNjNGHhFwPoGs3YBfyaGv29y6s3Vfg=s88-c-k-c0x00ffffff-no-rj")</f>
        <v>https://yt3.ggpht.com/GALvbrUNrIaHr6FLORPtD0X55R2yzqA7YVPgoyrPhXJSlNjNGHhFwPoGs3YBfyaGv29y6s3Vfg=s88-c-k-c0x00ffffff-no-rj</v>
      </c>
      <c r="AL75" s="81">
        <v>0</v>
      </c>
      <c r="AM75" s="81">
        <v>0</v>
      </c>
      <c r="AN75" s="81">
        <v>7</v>
      </c>
      <c r="AO75" s="81" t="b">
        <v>0</v>
      </c>
      <c r="AP75" s="81">
        <v>0</v>
      </c>
      <c r="AQ75" s="81"/>
      <c r="AR75" s="81"/>
      <c r="AS75" s="81" t="s">
        <v>1057</v>
      </c>
      <c r="AT75" s="83" t="str">
        <f>HYPERLINK("https://www.youtube.com/channel/UCNTrgkXCcj7CQJlehJqBgCQ")</f>
        <v>https://www.youtube.com/channel/UCNTrgkXCcj7CQJlehJqBgCQ</v>
      </c>
      <c r="AU75" s="81">
        <v>1</v>
      </c>
      <c r="AV75" s="49">
        <v>4</v>
      </c>
      <c r="AW75" s="50">
        <v>40</v>
      </c>
      <c r="AX75" s="49">
        <v>0</v>
      </c>
      <c r="AY75" s="50">
        <v>0</v>
      </c>
      <c r="AZ75" s="49">
        <v>0</v>
      </c>
      <c r="BA75" s="50">
        <v>0</v>
      </c>
      <c r="BB75" s="49">
        <v>2</v>
      </c>
      <c r="BC75" s="50">
        <v>20</v>
      </c>
      <c r="BD75" s="49">
        <v>10</v>
      </c>
      <c r="BE75" s="49"/>
      <c r="BF75" s="49"/>
      <c r="BG75" s="49"/>
      <c r="BH75" s="49"/>
      <c r="BI75" s="49"/>
      <c r="BJ75" s="49"/>
      <c r="BK75" s="115" t="s">
        <v>1117</v>
      </c>
      <c r="BL75" s="115" t="s">
        <v>1117</v>
      </c>
      <c r="BM75" s="115" t="s">
        <v>1246</v>
      </c>
      <c r="BN75" s="115" t="s">
        <v>1246</v>
      </c>
      <c r="BO75" s="2"/>
      <c r="BP75" s="3"/>
      <c r="BQ75" s="3"/>
      <c r="BR75" s="3"/>
      <c r="BS75" s="3"/>
    </row>
    <row r="76" spans="1:71" ht="15">
      <c r="A76" s="66" t="s">
        <v>294</v>
      </c>
      <c r="B76" s="67"/>
      <c r="C76" s="67"/>
      <c r="D76" s="68">
        <v>150</v>
      </c>
      <c r="E76" s="70"/>
      <c r="F76" s="103" t="str">
        <f>HYPERLINK("https://yt3.ggpht.com/ytc/AOPolaTt6dxitPbqUz2KeUdgNkHNww05Igg4Df9LNV4=s88-c-k-c0x00ffffff-no-rj")</f>
        <v>https://yt3.ggpht.com/ytc/AOPolaTt6dxitPbqUz2KeUdgNkHNww05Igg4Df9LNV4=s88-c-k-c0x00ffffff-no-rj</v>
      </c>
      <c r="G76" s="67"/>
      <c r="H76" s="71" t="s">
        <v>611</v>
      </c>
      <c r="I76" s="72"/>
      <c r="J76" s="72" t="s">
        <v>159</v>
      </c>
      <c r="K76" s="71" t="s">
        <v>611</v>
      </c>
      <c r="L76" s="75">
        <v>1</v>
      </c>
      <c r="M76" s="76">
        <v>1423.4541015625</v>
      </c>
      <c r="N76" s="76">
        <v>730.980712890625</v>
      </c>
      <c r="O76" s="77"/>
      <c r="P76" s="78"/>
      <c r="Q76" s="78"/>
      <c r="R76" s="89"/>
      <c r="S76" s="49">
        <v>0</v>
      </c>
      <c r="T76" s="49">
        <v>1</v>
      </c>
      <c r="U76" s="50">
        <v>0</v>
      </c>
      <c r="V76" s="50">
        <v>0.256952</v>
      </c>
      <c r="W76" s="50">
        <v>0.071778</v>
      </c>
      <c r="X76" s="50">
        <v>0.004811</v>
      </c>
      <c r="Y76" s="50">
        <v>0</v>
      </c>
      <c r="Z76" s="50">
        <v>0</v>
      </c>
      <c r="AA76" s="73">
        <v>76</v>
      </c>
      <c r="AB76" s="73"/>
      <c r="AC76" s="74"/>
      <c r="AD76" s="81" t="s">
        <v>611</v>
      </c>
      <c r="AE76" s="81"/>
      <c r="AF76" s="81"/>
      <c r="AG76" s="81"/>
      <c r="AH76" s="81"/>
      <c r="AI76" s="81" t="s">
        <v>948</v>
      </c>
      <c r="AJ76" s="85">
        <v>40830.1531712963</v>
      </c>
      <c r="AK76" s="83" t="str">
        <f>HYPERLINK("https://yt3.ggpht.com/ytc/AOPolaTt6dxitPbqUz2KeUdgNkHNww05Igg4Df9LNV4=s88-c-k-c0x00ffffff-no-rj")</f>
        <v>https://yt3.ggpht.com/ytc/AOPolaTt6dxitPbqUz2KeUdgNkHNww05Igg4Df9LNV4=s88-c-k-c0x00ffffff-no-rj</v>
      </c>
      <c r="AL76" s="81">
        <v>0</v>
      </c>
      <c r="AM76" s="81">
        <v>0</v>
      </c>
      <c r="AN76" s="81">
        <v>10</v>
      </c>
      <c r="AO76" s="81" t="b">
        <v>0</v>
      </c>
      <c r="AP76" s="81">
        <v>0</v>
      </c>
      <c r="AQ76" s="81"/>
      <c r="AR76" s="81"/>
      <c r="AS76" s="81" t="s">
        <v>1057</v>
      </c>
      <c r="AT76" s="83" t="str">
        <f>HYPERLINK("https://www.youtube.com/channel/UCLAlhhCrES_TuopULN19-yQ")</f>
        <v>https://www.youtube.com/channel/UCLAlhhCrES_TuopULN19-yQ</v>
      </c>
      <c r="AU76" s="81">
        <v>1</v>
      </c>
      <c r="AV76" s="49">
        <v>3</v>
      </c>
      <c r="AW76" s="50">
        <v>27.272727272727273</v>
      </c>
      <c r="AX76" s="49">
        <v>0</v>
      </c>
      <c r="AY76" s="50">
        <v>0</v>
      </c>
      <c r="AZ76" s="49">
        <v>0</v>
      </c>
      <c r="BA76" s="50">
        <v>0</v>
      </c>
      <c r="BB76" s="49">
        <v>2</v>
      </c>
      <c r="BC76" s="50">
        <v>18.181818181818183</v>
      </c>
      <c r="BD76" s="49">
        <v>11</v>
      </c>
      <c r="BE76" s="49"/>
      <c r="BF76" s="49"/>
      <c r="BG76" s="49"/>
      <c r="BH76" s="49"/>
      <c r="BI76" s="49"/>
      <c r="BJ76" s="49"/>
      <c r="BK76" s="115" t="s">
        <v>1118</v>
      </c>
      <c r="BL76" s="115" t="s">
        <v>1118</v>
      </c>
      <c r="BM76" s="115" t="s">
        <v>1247</v>
      </c>
      <c r="BN76" s="115" t="s">
        <v>1247</v>
      </c>
      <c r="BO76" s="2"/>
      <c r="BP76" s="3"/>
      <c r="BQ76" s="3"/>
      <c r="BR76" s="3"/>
      <c r="BS76" s="3"/>
    </row>
    <row r="77" spans="1:71" ht="15">
      <c r="A77" s="66" t="s">
        <v>295</v>
      </c>
      <c r="B77" s="67"/>
      <c r="C77" s="67"/>
      <c r="D77" s="68">
        <v>150</v>
      </c>
      <c r="E77" s="70"/>
      <c r="F77" s="103" t="str">
        <f>HYPERLINK("https://yt3.ggpht.com/ytc/AOPolaTf8hVDkEZfwr7w6Qur4Yfr5CrMRtXDzcI8y7pa=s88-c-k-c0x00ffffff-no-rj")</f>
        <v>https://yt3.ggpht.com/ytc/AOPolaTf8hVDkEZfwr7w6Qur4Yfr5CrMRtXDzcI8y7pa=s88-c-k-c0x00ffffff-no-rj</v>
      </c>
      <c r="G77" s="67"/>
      <c r="H77" s="71" t="s">
        <v>612</v>
      </c>
      <c r="I77" s="72"/>
      <c r="J77" s="72" t="s">
        <v>159</v>
      </c>
      <c r="K77" s="71" t="s">
        <v>612</v>
      </c>
      <c r="L77" s="75">
        <v>1</v>
      </c>
      <c r="M77" s="76">
        <v>893.8571166992188</v>
      </c>
      <c r="N77" s="76">
        <v>1563.5775146484375</v>
      </c>
      <c r="O77" s="77"/>
      <c r="P77" s="78"/>
      <c r="Q77" s="78"/>
      <c r="R77" s="89"/>
      <c r="S77" s="49">
        <v>0</v>
      </c>
      <c r="T77" s="49">
        <v>1</v>
      </c>
      <c r="U77" s="50">
        <v>0</v>
      </c>
      <c r="V77" s="50">
        <v>0.256952</v>
      </c>
      <c r="W77" s="50">
        <v>0.071778</v>
      </c>
      <c r="X77" s="50">
        <v>0.004811</v>
      </c>
      <c r="Y77" s="50">
        <v>0</v>
      </c>
      <c r="Z77" s="50">
        <v>0</v>
      </c>
      <c r="AA77" s="73">
        <v>77</v>
      </c>
      <c r="AB77" s="73"/>
      <c r="AC77" s="74"/>
      <c r="AD77" s="81" t="s">
        <v>612</v>
      </c>
      <c r="AE77" s="81"/>
      <c r="AF77" s="81"/>
      <c r="AG77" s="81"/>
      <c r="AH77" s="81"/>
      <c r="AI77" s="81" t="s">
        <v>949</v>
      </c>
      <c r="AJ77" s="85">
        <v>43149.363854166666</v>
      </c>
      <c r="AK77" s="83" t="str">
        <f>HYPERLINK("https://yt3.ggpht.com/ytc/AOPolaTf8hVDkEZfwr7w6Qur4Yfr5CrMRtXDzcI8y7pa=s88-c-k-c0x00ffffff-no-rj")</f>
        <v>https://yt3.ggpht.com/ytc/AOPolaTf8hVDkEZfwr7w6Qur4Yfr5CrMRtXDzcI8y7pa=s88-c-k-c0x00ffffff-no-rj</v>
      </c>
      <c r="AL77" s="81">
        <v>0</v>
      </c>
      <c r="AM77" s="81">
        <v>0</v>
      </c>
      <c r="AN77" s="81">
        <v>18</v>
      </c>
      <c r="AO77" s="81" t="b">
        <v>0</v>
      </c>
      <c r="AP77" s="81">
        <v>0</v>
      </c>
      <c r="AQ77" s="81"/>
      <c r="AR77" s="81"/>
      <c r="AS77" s="81" t="s">
        <v>1057</v>
      </c>
      <c r="AT77" s="83" t="str">
        <f>HYPERLINK("https://www.youtube.com/channel/UCXa4DFnMX6Brmh3mAqvjUOQ")</f>
        <v>https://www.youtube.com/channel/UCXa4DFnMX6Brmh3mAqvjUOQ</v>
      </c>
      <c r="AU77" s="81">
        <v>1</v>
      </c>
      <c r="AV77" s="49">
        <v>1</v>
      </c>
      <c r="AW77" s="50">
        <v>12.5</v>
      </c>
      <c r="AX77" s="49">
        <v>0</v>
      </c>
      <c r="AY77" s="50">
        <v>0</v>
      </c>
      <c r="AZ77" s="49">
        <v>0</v>
      </c>
      <c r="BA77" s="50">
        <v>0</v>
      </c>
      <c r="BB77" s="49">
        <v>1</v>
      </c>
      <c r="BC77" s="50">
        <v>12.5</v>
      </c>
      <c r="BD77" s="49">
        <v>8</v>
      </c>
      <c r="BE77" s="49"/>
      <c r="BF77" s="49"/>
      <c r="BG77" s="49"/>
      <c r="BH77" s="49"/>
      <c r="BI77" s="49"/>
      <c r="BJ77" s="49"/>
      <c r="BK77" s="115" t="s">
        <v>1119</v>
      </c>
      <c r="BL77" s="115" t="s">
        <v>1119</v>
      </c>
      <c r="BM77" s="115" t="s">
        <v>1248</v>
      </c>
      <c r="BN77" s="115" t="s">
        <v>1248</v>
      </c>
      <c r="BO77" s="2"/>
      <c r="BP77" s="3"/>
      <c r="BQ77" s="3"/>
      <c r="BR77" s="3"/>
      <c r="BS77" s="3"/>
    </row>
    <row r="78" spans="1:71" ht="15">
      <c r="A78" s="66" t="s">
        <v>296</v>
      </c>
      <c r="B78" s="67"/>
      <c r="C78" s="67"/>
      <c r="D78" s="68">
        <v>150</v>
      </c>
      <c r="E78" s="70"/>
      <c r="F78" s="103" t="str">
        <f>HYPERLINK("https://yt3.ggpht.com/ytc/AOPolaQ3I6Udc5kkR7c65AvBEOZq_lJc-uaCP0lNJw=s88-c-k-c0x00ffffff-no-rj")</f>
        <v>https://yt3.ggpht.com/ytc/AOPolaQ3I6Udc5kkR7c65AvBEOZq_lJc-uaCP0lNJw=s88-c-k-c0x00ffffff-no-rj</v>
      </c>
      <c r="G78" s="67"/>
      <c r="H78" s="71" t="s">
        <v>613</v>
      </c>
      <c r="I78" s="72"/>
      <c r="J78" s="72" t="s">
        <v>159</v>
      </c>
      <c r="K78" s="71" t="s">
        <v>613</v>
      </c>
      <c r="L78" s="75">
        <v>1</v>
      </c>
      <c r="M78" s="76">
        <v>3491.034912109375</v>
      </c>
      <c r="N78" s="76">
        <v>2601.893798828125</v>
      </c>
      <c r="O78" s="77"/>
      <c r="P78" s="78"/>
      <c r="Q78" s="78"/>
      <c r="R78" s="89"/>
      <c r="S78" s="49">
        <v>0</v>
      </c>
      <c r="T78" s="49">
        <v>1</v>
      </c>
      <c r="U78" s="50">
        <v>0</v>
      </c>
      <c r="V78" s="50">
        <v>0.256952</v>
      </c>
      <c r="W78" s="50">
        <v>0.071778</v>
      </c>
      <c r="X78" s="50">
        <v>0.004811</v>
      </c>
      <c r="Y78" s="50">
        <v>0</v>
      </c>
      <c r="Z78" s="50">
        <v>0</v>
      </c>
      <c r="AA78" s="73">
        <v>78</v>
      </c>
      <c r="AB78" s="73"/>
      <c r="AC78" s="74"/>
      <c r="AD78" s="81" t="s">
        <v>613</v>
      </c>
      <c r="AE78" s="81"/>
      <c r="AF78" s="81"/>
      <c r="AG78" s="81"/>
      <c r="AH78" s="81"/>
      <c r="AI78" s="81" t="s">
        <v>950</v>
      </c>
      <c r="AJ78" s="85">
        <v>43459.90660879629</v>
      </c>
      <c r="AK78" s="83" t="str">
        <f>HYPERLINK("https://yt3.ggpht.com/ytc/AOPolaQ3I6Udc5kkR7c65AvBEOZq_lJc-uaCP0lNJw=s88-c-k-c0x00ffffff-no-rj")</f>
        <v>https://yt3.ggpht.com/ytc/AOPolaQ3I6Udc5kkR7c65AvBEOZq_lJc-uaCP0lNJw=s88-c-k-c0x00ffffff-no-rj</v>
      </c>
      <c r="AL78" s="81">
        <v>0</v>
      </c>
      <c r="AM78" s="81">
        <v>0</v>
      </c>
      <c r="AN78" s="81">
        <v>1</v>
      </c>
      <c r="AO78" s="81" t="b">
        <v>0</v>
      </c>
      <c r="AP78" s="81">
        <v>0</v>
      </c>
      <c r="AQ78" s="81"/>
      <c r="AR78" s="81"/>
      <c r="AS78" s="81" t="s">
        <v>1057</v>
      </c>
      <c r="AT78" s="83" t="str">
        <f>HYPERLINK("https://www.youtube.com/channel/UCS-EWpwAltfMYa927MkQPTw")</f>
        <v>https://www.youtube.com/channel/UCS-EWpwAltfMYa927MkQPTw</v>
      </c>
      <c r="AU78" s="81">
        <v>1</v>
      </c>
      <c r="AV78" s="49">
        <v>0</v>
      </c>
      <c r="AW78" s="50">
        <v>0</v>
      </c>
      <c r="AX78" s="49">
        <v>0</v>
      </c>
      <c r="AY78" s="50">
        <v>0</v>
      </c>
      <c r="AZ78" s="49">
        <v>0</v>
      </c>
      <c r="BA78" s="50">
        <v>0</v>
      </c>
      <c r="BB78" s="49">
        <v>7</v>
      </c>
      <c r="BC78" s="50">
        <v>53.84615384615385</v>
      </c>
      <c r="BD78" s="49">
        <v>13</v>
      </c>
      <c r="BE78" s="49"/>
      <c r="BF78" s="49"/>
      <c r="BG78" s="49"/>
      <c r="BH78" s="49"/>
      <c r="BI78" s="49"/>
      <c r="BJ78" s="49"/>
      <c r="BK78" s="115" t="s">
        <v>1120</v>
      </c>
      <c r="BL78" s="115" t="s">
        <v>1120</v>
      </c>
      <c r="BM78" s="115" t="s">
        <v>1249</v>
      </c>
      <c r="BN78" s="115" t="s">
        <v>1249</v>
      </c>
      <c r="BO78" s="2"/>
      <c r="BP78" s="3"/>
      <c r="BQ78" s="3"/>
      <c r="BR78" s="3"/>
      <c r="BS78" s="3"/>
    </row>
    <row r="79" spans="1:71" ht="15">
      <c r="A79" s="66" t="s">
        <v>297</v>
      </c>
      <c r="B79" s="67"/>
      <c r="C79" s="67"/>
      <c r="D79" s="68">
        <v>150</v>
      </c>
      <c r="E79" s="70"/>
      <c r="F79" s="103" t="str">
        <f>HYPERLINK("https://yt3.ggpht.com/ytc/AOPolaSRhAX4R38K-cX7psNaSWqIWvmn2hMNj7G0T9n23c-uCvFgE4DgbgADUTrmtfHf=s88-c-k-c0x00ffffff-no-rj")</f>
        <v>https://yt3.ggpht.com/ytc/AOPolaSRhAX4R38K-cX7psNaSWqIWvmn2hMNj7G0T9n23c-uCvFgE4DgbgADUTrmtfHf=s88-c-k-c0x00ffffff-no-rj</v>
      </c>
      <c r="G79" s="67"/>
      <c r="H79" s="71" t="s">
        <v>614</v>
      </c>
      <c r="I79" s="72"/>
      <c r="J79" s="72" t="s">
        <v>159</v>
      </c>
      <c r="K79" s="71" t="s">
        <v>614</v>
      </c>
      <c r="L79" s="75">
        <v>1</v>
      </c>
      <c r="M79" s="76">
        <v>484.828369140625</v>
      </c>
      <c r="N79" s="76">
        <v>7494.52880859375</v>
      </c>
      <c r="O79" s="77"/>
      <c r="P79" s="78"/>
      <c r="Q79" s="78"/>
      <c r="R79" s="89"/>
      <c r="S79" s="49">
        <v>0</v>
      </c>
      <c r="T79" s="49">
        <v>1</v>
      </c>
      <c r="U79" s="50">
        <v>0</v>
      </c>
      <c r="V79" s="50">
        <v>0.256952</v>
      </c>
      <c r="W79" s="50">
        <v>0.071778</v>
      </c>
      <c r="X79" s="50">
        <v>0.004811</v>
      </c>
      <c r="Y79" s="50">
        <v>0</v>
      </c>
      <c r="Z79" s="50">
        <v>0</v>
      </c>
      <c r="AA79" s="73">
        <v>79</v>
      </c>
      <c r="AB79" s="73"/>
      <c r="AC79" s="74"/>
      <c r="AD79" s="81" t="s">
        <v>614</v>
      </c>
      <c r="AE79" s="81"/>
      <c r="AF79" s="81"/>
      <c r="AG79" s="81"/>
      <c r="AH79" s="81"/>
      <c r="AI79" s="81" t="s">
        <v>951</v>
      </c>
      <c r="AJ79" s="85">
        <v>43238.779016203705</v>
      </c>
      <c r="AK79" s="83" t="str">
        <f>HYPERLINK("https://yt3.ggpht.com/ytc/AOPolaSRhAX4R38K-cX7psNaSWqIWvmn2hMNj7G0T9n23c-uCvFgE4DgbgADUTrmtfHf=s88-c-k-c0x00ffffff-no-rj")</f>
        <v>https://yt3.ggpht.com/ytc/AOPolaSRhAX4R38K-cX7psNaSWqIWvmn2hMNj7G0T9n23c-uCvFgE4DgbgADUTrmtfHf=s88-c-k-c0x00ffffff-no-rj</v>
      </c>
      <c r="AL79" s="81">
        <v>111</v>
      </c>
      <c r="AM79" s="81">
        <v>0</v>
      </c>
      <c r="AN79" s="81">
        <v>27</v>
      </c>
      <c r="AO79" s="81" t="b">
        <v>0</v>
      </c>
      <c r="AP79" s="81">
        <v>1</v>
      </c>
      <c r="AQ79" s="81"/>
      <c r="AR79" s="81"/>
      <c r="AS79" s="81" t="s">
        <v>1057</v>
      </c>
      <c r="AT79" s="83" t="str">
        <f>HYPERLINK("https://www.youtube.com/channel/UCU2bqZXef_k6nvgCQJs4r2A")</f>
        <v>https://www.youtube.com/channel/UCU2bqZXef_k6nvgCQJs4r2A</v>
      </c>
      <c r="AU79" s="81">
        <v>1</v>
      </c>
      <c r="AV79" s="49">
        <v>1</v>
      </c>
      <c r="AW79" s="50">
        <v>33.333333333333336</v>
      </c>
      <c r="AX79" s="49">
        <v>0</v>
      </c>
      <c r="AY79" s="50">
        <v>0</v>
      </c>
      <c r="AZ79" s="49">
        <v>0</v>
      </c>
      <c r="BA79" s="50">
        <v>0</v>
      </c>
      <c r="BB79" s="49">
        <v>2</v>
      </c>
      <c r="BC79" s="50">
        <v>66.66666666666667</v>
      </c>
      <c r="BD79" s="49">
        <v>3</v>
      </c>
      <c r="BE79" s="49"/>
      <c r="BF79" s="49"/>
      <c r="BG79" s="49"/>
      <c r="BH79" s="49"/>
      <c r="BI79" s="49"/>
      <c r="BJ79" s="49"/>
      <c r="BK79" s="115" t="s">
        <v>1121</v>
      </c>
      <c r="BL79" s="115" t="s">
        <v>1121</v>
      </c>
      <c r="BM79" s="115" t="s">
        <v>1250</v>
      </c>
      <c r="BN79" s="115" t="s">
        <v>1250</v>
      </c>
      <c r="BO79" s="2"/>
      <c r="BP79" s="3"/>
      <c r="BQ79" s="3"/>
      <c r="BR79" s="3"/>
      <c r="BS79" s="3"/>
    </row>
    <row r="80" spans="1:71" ht="15">
      <c r="A80" s="66" t="s">
        <v>298</v>
      </c>
      <c r="B80" s="67"/>
      <c r="C80" s="67"/>
      <c r="D80" s="68">
        <v>150</v>
      </c>
      <c r="E80" s="70"/>
      <c r="F80" s="103" t="str">
        <f>HYPERLINK("https://yt3.ggpht.com/ytc/AOPolaRKNDyzPys8pdP16vJe_9IO6Ltgi7oeOLfspQ=s88-c-k-c0x00ffffff-no-rj")</f>
        <v>https://yt3.ggpht.com/ytc/AOPolaRKNDyzPys8pdP16vJe_9IO6Ltgi7oeOLfspQ=s88-c-k-c0x00ffffff-no-rj</v>
      </c>
      <c r="G80" s="67"/>
      <c r="H80" s="71" t="s">
        <v>615</v>
      </c>
      <c r="I80" s="72"/>
      <c r="J80" s="72" t="s">
        <v>159</v>
      </c>
      <c r="K80" s="71" t="s">
        <v>615</v>
      </c>
      <c r="L80" s="75">
        <v>1</v>
      </c>
      <c r="M80" s="76">
        <v>3599.716064453125</v>
      </c>
      <c r="N80" s="76">
        <v>3949.303466796875</v>
      </c>
      <c r="O80" s="77"/>
      <c r="P80" s="78"/>
      <c r="Q80" s="78"/>
      <c r="R80" s="89"/>
      <c r="S80" s="49">
        <v>0</v>
      </c>
      <c r="T80" s="49">
        <v>1</v>
      </c>
      <c r="U80" s="50">
        <v>0</v>
      </c>
      <c r="V80" s="50">
        <v>0.256952</v>
      </c>
      <c r="W80" s="50">
        <v>0.071778</v>
      </c>
      <c r="X80" s="50">
        <v>0.004811</v>
      </c>
      <c r="Y80" s="50">
        <v>0</v>
      </c>
      <c r="Z80" s="50">
        <v>0</v>
      </c>
      <c r="AA80" s="73">
        <v>80</v>
      </c>
      <c r="AB80" s="73"/>
      <c r="AC80" s="74"/>
      <c r="AD80" s="81" t="s">
        <v>615</v>
      </c>
      <c r="AE80" s="81"/>
      <c r="AF80" s="81"/>
      <c r="AG80" s="81"/>
      <c r="AH80" s="81"/>
      <c r="AI80" s="81" t="s">
        <v>952</v>
      </c>
      <c r="AJ80" s="85">
        <v>42829.89142361111</v>
      </c>
      <c r="AK80" s="83" t="str">
        <f>HYPERLINK("https://yt3.ggpht.com/ytc/AOPolaRKNDyzPys8pdP16vJe_9IO6Ltgi7oeOLfspQ=s88-c-k-c0x00ffffff-no-rj")</f>
        <v>https://yt3.ggpht.com/ytc/AOPolaRKNDyzPys8pdP16vJe_9IO6Ltgi7oeOLfspQ=s88-c-k-c0x00ffffff-no-rj</v>
      </c>
      <c r="AL80" s="81">
        <v>0</v>
      </c>
      <c r="AM80" s="81">
        <v>0</v>
      </c>
      <c r="AN80" s="81">
        <v>1</v>
      </c>
      <c r="AO80" s="81" t="b">
        <v>0</v>
      </c>
      <c r="AP80" s="81">
        <v>0</v>
      </c>
      <c r="AQ80" s="81"/>
      <c r="AR80" s="81"/>
      <c r="AS80" s="81" t="s">
        <v>1057</v>
      </c>
      <c r="AT80" s="83" t="str">
        <f>HYPERLINK("https://www.youtube.com/channel/UCDWWvVklzjZAbCF-uvJbn5Q")</f>
        <v>https://www.youtube.com/channel/UCDWWvVklzjZAbCF-uvJbn5Q</v>
      </c>
      <c r="AU80" s="81">
        <v>1</v>
      </c>
      <c r="AV80" s="49">
        <v>1</v>
      </c>
      <c r="AW80" s="50">
        <v>10</v>
      </c>
      <c r="AX80" s="49">
        <v>0</v>
      </c>
      <c r="AY80" s="50">
        <v>0</v>
      </c>
      <c r="AZ80" s="49">
        <v>0</v>
      </c>
      <c r="BA80" s="50">
        <v>0</v>
      </c>
      <c r="BB80" s="49">
        <v>4</v>
      </c>
      <c r="BC80" s="50">
        <v>40</v>
      </c>
      <c r="BD80" s="49">
        <v>10</v>
      </c>
      <c r="BE80" s="49"/>
      <c r="BF80" s="49"/>
      <c r="BG80" s="49"/>
      <c r="BH80" s="49"/>
      <c r="BI80" s="49"/>
      <c r="BJ80" s="49"/>
      <c r="BK80" s="115" t="s">
        <v>1122</v>
      </c>
      <c r="BL80" s="115" t="s">
        <v>1122</v>
      </c>
      <c r="BM80" s="115" t="s">
        <v>1251</v>
      </c>
      <c r="BN80" s="115" t="s">
        <v>1251</v>
      </c>
      <c r="BO80" s="2"/>
      <c r="BP80" s="3"/>
      <c r="BQ80" s="3"/>
      <c r="BR80" s="3"/>
      <c r="BS80" s="3"/>
    </row>
    <row r="81" spans="1:71" ht="15">
      <c r="A81" s="66" t="s">
        <v>299</v>
      </c>
      <c r="B81" s="67"/>
      <c r="C81" s="67"/>
      <c r="D81" s="68">
        <v>150</v>
      </c>
      <c r="E81" s="70"/>
      <c r="F81" s="103" t="str">
        <f>HYPERLINK("https://yt3.ggpht.com/z5untV8I_aOROT4xPyo_ZsklbANtCZA10V-qiRm4oQCMw-UuWBsIiB_Pf_iak_h-0_jFrVqBz9k=s88-c-k-c0x00ffffff-no-rj")</f>
        <v>https://yt3.ggpht.com/z5untV8I_aOROT4xPyo_ZsklbANtCZA10V-qiRm4oQCMw-UuWBsIiB_Pf_iak_h-0_jFrVqBz9k=s88-c-k-c0x00ffffff-no-rj</v>
      </c>
      <c r="G81" s="67"/>
      <c r="H81" s="71" t="s">
        <v>616</v>
      </c>
      <c r="I81" s="72"/>
      <c r="J81" s="72" t="s">
        <v>159</v>
      </c>
      <c r="K81" s="71" t="s">
        <v>616</v>
      </c>
      <c r="L81" s="75">
        <v>1</v>
      </c>
      <c r="M81" s="76">
        <v>4861.5341796875</v>
      </c>
      <c r="N81" s="76">
        <v>2871.38232421875</v>
      </c>
      <c r="O81" s="77"/>
      <c r="P81" s="78"/>
      <c r="Q81" s="78"/>
      <c r="R81" s="89"/>
      <c r="S81" s="49">
        <v>0</v>
      </c>
      <c r="T81" s="49">
        <v>1</v>
      </c>
      <c r="U81" s="50">
        <v>0</v>
      </c>
      <c r="V81" s="50">
        <v>0.256952</v>
      </c>
      <c r="W81" s="50">
        <v>0.071778</v>
      </c>
      <c r="X81" s="50">
        <v>0.004811</v>
      </c>
      <c r="Y81" s="50">
        <v>0</v>
      </c>
      <c r="Z81" s="50">
        <v>0</v>
      </c>
      <c r="AA81" s="73">
        <v>81</v>
      </c>
      <c r="AB81" s="73"/>
      <c r="AC81" s="74"/>
      <c r="AD81" s="81" t="s">
        <v>616</v>
      </c>
      <c r="AE81" s="81"/>
      <c r="AF81" s="81"/>
      <c r="AG81" s="81"/>
      <c r="AH81" s="81"/>
      <c r="AI81" s="81" t="s">
        <v>953</v>
      </c>
      <c r="AJ81" s="85">
        <v>42155.49181712963</v>
      </c>
      <c r="AK81" s="83" t="str">
        <f>HYPERLINK("https://yt3.ggpht.com/z5untV8I_aOROT4xPyo_ZsklbANtCZA10V-qiRm4oQCMw-UuWBsIiB_Pf_iak_h-0_jFrVqBz9k=s88-c-k-c0x00ffffff-no-rj")</f>
        <v>https://yt3.ggpht.com/z5untV8I_aOROT4xPyo_ZsklbANtCZA10V-qiRm4oQCMw-UuWBsIiB_Pf_iak_h-0_jFrVqBz9k=s88-c-k-c0x00ffffff-no-rj</v>
      </c>
      <c r="AL81" s="81">
        <v>27</v>
      </c>
      <c r="AM81" s="81">
        <v>0</v>
      </c>
      <c r="AN81" s="81">
        <v>6</v>
      </c>
      <c r="AO81" s="81" t="b">
        <v>0</v>
      </c>
      <c r="AP81" s="81">
        <v>2</v>
      </c>
      <c r="AQ81" s="81"/>
      <c r="AR81" s="81"/>
      <c r="AS81" s="81" t="s">
        <v>1057</v>
      </c>
      <c r="AT81" s="83" t="str">
        <f>HYPERLINK("https://www.youtube.com/channel/UCnvEQ72X4zUvfykkduU-zEg")</f>
        <v>https://www.youtube.com/channel/UCnvEQ72X4zUvfykkduU-zEg</v>
      </c>
      <c r="AU81" s="81">
        <v>1</v>
      </c>
      <c r="AV81" s="49">
        <v>0</v>
      </c>
      <c r="AW81" s="50">
        <v>0</v>
      </c>
      <c r="AX81" s="49">
        <v>0</v>
      </c>
      <c r="AY81" s="50">
        <v>0</v>
      </c>
      <c r="AZ81" s="49">
        <v>0</v>
      </c>
      <c r="BA81" s="50">
        <v>0</v>
      </c>
      <c r="BB81" s="49">
        <v>4</v>
      </c>
      <c r="BC81" s="50">
        <v>36.36363636363637</v>
      </c>
      <c r="BD81" s="49">
        <v>11</v>
      </c>
      <c r="BE81" s="49"/>
      <c r="BF81" s="49"/>
      <c r="BG81" s="49"/>
      <c r="BH81" s="49"/>
      <c r="BI81" s="49"/>
      <c r="BJ81" s="49"/>
      <c r="BK81" s="115" t="s">
        <v>1123</v>
      </c>
      <c r="BL81" s="115" t="s">
        <v>1123</v>
      </c>
      <c r="BM81" s="115" t="s">
        <v>1252</v>
      </c>
      <c r="BN81" s="115" t="s">
        <v>1252</v>
      </c>
      <c r="BO81" s="2"/>
      <c r="BP81" s="3"/>
      <c r="BQ81" s="3"/>
      <c r="BR81" s="3"/>
      <c r="BS81" s="3"/>
    </row>
    <row r="82" spans="1:71" ht="15">
      <c r="A82" s="66" t="s">
        <v>300</v>
      </c>
      <c r="B82" s="67"/>
      <c r="C82" s="67"/>
      <c r="D82" s="68">
        <v>150</v>
      </c>
      <c r="E82" s="70"/>
      <c r="F82" s="103" t="str">
        <f>HYPERLINK("https://yt3.ggpht.com/O_KbBwmFTrI-XexSIcqrqZo7yvL8HN42B3Wjn3Mbu9pEv1KYn_J1ahgANQYU6hOBN2ulN-V2lA=s88-c-k-c0x00ffffff-no-rj")</f>
        <v>https://yt3.ggpht.com/O_KbBwmFTrI-XexSIcqrqZo7yvL8HN42B3Wjn3Mbu9pEv1KYn_J1ahgANQYU6hOBN2ulN-V2lA=s88-c-k-c0x00ffffff-no-rj</v>
      </c>
      <c r="G82" s="67"/>
      <c r="H82" s="71" t="s">
        <v>617</v>
      </c>
      <c r="I82" s="72"/>
      <c r="J82" s="72" t="s">
        <v>159</v>
      </c>
      <c r="K82" s="71" t="s">
        <v>617</v>
      </c>
      <c r="L82" s="75">
        <v>1</v>
      </c>
      <c r="M82" s="76">
        <v>871.2240600585938</v>
      </c>
      <c r="N82" s="76">
        <v>2609.284912109375</v>
      </c>
      <c r="O82" s="77"/>
      <c r="P82" s="78"/>
      <c r="Q82" s="78"/>
      <c r="R82" s="89"/>
      <c r="S82" s="49">
        <v>0</v>
      </c>
      <c r="T82" s="49">
        <v>1</v>
      </c>
      <c r="U82" s="50">
        <v>0</v>
      </c>
      <c r="V82" s="50">
        <v>0.256952</v>
      </c>
      <c r="W82" s="50">
        <v>0.071778</v>
      </c>
      <c r="X82" s="50">
        <v>0.004811</v>
      </c>
      <c r="Y82" s="50">
        <v>0</v>
      </c>
      <c r="Z82" s="50">
        <v>0</v>
      </c>
      <c r="AA82" s="73">
        <v>82</v>
      </c>
      <c r="AB82" s="73"/>
      <c r="AC82" s="74"/>
      <c r="AD82" s="81" t="s">
        <v>617</v>
      </c>
      <c r="AE82" s="81" t="s">
        <v>832</v>
      </c>
      <c r="AF82" s="81"/>
      <c r="AG82" s="81"/>
      <c r="AH82" s="81"/>
      <c r="AI82" s="81" t="s">
        <v>954</v>
      </c>
      <c r="AJ82" s="85">
        <v>39973.21706018518</v>
      </c>
      <c r="AK82" s="83" t="str">
        <f>HYPERLINK("https://yt3.ggpht.com/O_KbBwmFTrI-XexSIcqrqZo7yvL8HN42B3Wjn3Mbu9pEv1KYn_J1ahgANQYU6hOBN2ulN-V2lA=s88-c-k-c0x00ffffff-no-rj")</f>
        <v>https://yt3.ggpht.com/O_KbBwmFTrI-XexSIcqrqZo7yvL8HN42B3Wjn3Mbu9pEv1KYn_J1ahgANQYU6hOBN2ulN-V2lA=s88-c-k-c0x00ffffff-no-rj</v>
      </c>
      <c r="AL82" s="81">
        <v>65276</v>
      </c>
      <c r="AM82" s="81">
        <v>0</v>
      </c>
      <c r="AN82" s="81">
        <v>546</v>
      </c>
      <c r="AO82" s="81" t="b">
        <v>0</v>
      </c>
      <c r="AP82" s="81">
        <v>128</v>
      </c>
      <c r="AQ82" s="81"/>
      <c r="AR82" s="81"/>
      <c r="AS82" s="81" t="s">
        <v>1057</v>
      </c>
      <c r="AT82" s="83" t="str">
        <f>HYPERLINK("https://www.youtube.com/channel/UCb5yAzMlnPA0R3MZdUo90qw")</f>
        <v>https://www.youtube.com/channel/UCb5yAzMlnPA0R3MZdUo90qw</v>
      </c>
      <c r="AU82" s="81">
        <v>1</v>
      </c>
      <c r="AV82" s="49">
        <v>3</v>
      </c>
      <c r="AW82" s="50">
        <v>20</v>
      </c>
      <c r="AX82" s="49">
        <v>0</v>
      </c>
      <c r="AY82" s="50">
        <v>0</v>
      </c>
      <c r="AZ82" s="49">
        <v>0</v>
      </c>
      <c r="BA82" s="50">
        <v>0</v>
      </c>
      <c r="BB82" s="49">
        <v>2</v>
      </c>
      <c r="BC82" s="50">
        <v>13.333333333333334</v>
      </c>
      <c r="BD82" s="49">
        <v>15</v>
      </c>
      <c r="BE82" s="49"/>
      <c r="BF82" s="49"/>
      <c r="BG82" s="49"/>
      <c r="BH82" s="49"/>
      <c r="BI82" s="49"/>
      <c r="BJ82" s="49"/>
      <c r="BK82" s="115" t="s">
        <v>1124</v>
      </c>
      <c r="BL82" s="115" t="s">
        <v>1124</v>
      </c>
      <c r="BM82" s="115" t="s">
        <v>1253</v>
      </c>
      <c r="BN82" s="115" t="s">
        <v>1253</v>
      </c>
      <c r="BO82" s="2"/>
      <c r="BP82" s="3"/>
      <c r="BQ82" s="3"/>
      <c r="BR82" s="3"/>
      <c r="BS82" s="3"/>
    </row>
    <row r="83" spans="1:71" ht="15">
      <c r="A83" s="66" t="s">
        <v>301</v>
      </c>
      <c r="B83" s="67"/>
      <c r="C83" s="67"/>
      <c r="D83" s="68">
        <v>150</v>
      </c>
      <c r="E83" s="70"/>
      <c r="F83" s="103" t="str">
        <f>HYPERLINK("https://yt3.ggpht.com/ytc/AOPolaST0UMgqNCD_oYaHAi47kBS4xKvmStcl-ziG7mx4w=s88-c-k-c0x00ffffff-no-rj")</f>
        <v>https://yt3.ggpht.com/ytc/AOPolaST0UMgqNCD_oYaHAi47kBS4xKvmStcl-ziG7mx4w=s88-c-k-c0x00ffffff-no-rj</v>
      </c>
      <c r="G83" s="67"/>
      <c r="H83" s="71" t="s">
        <v>618</v>
      </c>
      <c r="I83" s="72"/>
      <c r="J83" s="72" t="s">
        <v>159</v>
      </c>
      <c r="K83" s="71" t="s">
        <v>618</v>
      </c>
      <c r="L83" s="75">
        <v>1</v>
      </c>
      <c r="M83" s="76">
        <v>4605.544921875</v>
      </c>
      <c r="N83" s="76">
        <v>7910.728515625</v>
      </c>
      <c r="O83" s="77"/>
      <c r="P83" s="78"/>
      <c r="Q83" s="78"/>
      <c r="R83" s="89"/>
      <c r="S83" s="49">
        <v>0</v>
      </c>
      <c r="T83" s="49">
        <v>1</v>
      </c>
      <c r="U83" s="50">
        <v>0</v>
      </c>
      <c r="V83" s="50">
        <v>0.256952</v>
      </c>
      <c r="W83" s="50">
        <v>0.071778</v>
      </c>
      <c r="X83" s="50">
        <v>0.004811</v>
      </c>
      <c r="Y83" s="50">
        <v>0</v>
      </c>
      <c r="Z83" s="50">
        <v>0</v>
      </c>
      <c r="AA83" s="73">
        <v>83</v>
      </c>
      <c r="AB83" s="73"/>
      <c r="AC83" s="74"/>
      <c r="AD83" s="81" t="s">
        <v>618</v>
      </c>
      <c r="AE83" s="81"/>
      <c r="AF83" s="81"/>
      <c r="AG83" s="81"/>
      <c r="AH83" s="81"/>
      <c r="AI83" s="81" t="s">
        <v>955</v>
      </c>
      <c r="AJ83" s="85">
        <v>41870.332141203704</v>
      </c>
      <c r="AK83" s="83" t="str">
        <f>HYPERLINK("https://yt3.ggpht.com/ytc/AOPolaST0UMgqNCD_oYaHAi47kBS4xKvmStcl-ziG7mx4w=s88-c-k-c0x00ffffff-no-rj")</f>
        <v>https://yt3.ggpht.com/ytc/AOPolaST0UMgqNCD_oYaHAi47kBS4xKvmStcl-ziG7mx4w=s88-c-k-c0x00ffffff-no-rj</v>
      </c>
      <c r="AL83" s="81">
        <v>157</v>
      </c>
      <c r="AM83" s="81">
        <v>0</v>
      </c>
      <c r="AN83" s="81">
        <v>2</v>
      </c>
      <c r="AO83" s="81" t="b">
        <v>0</v>
      </c>
      <c r="AP83" s="81">
        <v>6</v>
      </c>
      <c r="AQ83" s="81"/>
      <c r="AR83" s="81"/>
      <c r="AS83" s="81" t="s">
        <v>1057</v>
      </c>
      <c r="AT83" s="83" t="str">
        <f>HYPERLINK("https://www.youtube.com/channel/UCZtW_bJ0fIcVfxb4h4HbVrg")</f>
        <v>https://www.youtube.com/channel/UCZtW_bJ0fIcVfxb4h4HbVrg</v>
      </c>
      <c r="AU83" s="81">
        <v>1</v>
      </c>
      <c r="AV83" s="49">
        <v>0</v>
      </c>
      <c r="AW83" s="50">
        <v>0</v>
      </c>
      <c r="AX83" s="49">
        <v>0</v>
      </c>
      <c r="AY83" s="50">
        <v>0</v>
      </c>
      <c r="AZ83" s="49">
        <v>0</v>
      </c>
      <c r="BA83" s="50">
        <v>0</v>
      </c>
      <c r="BB83" s="49">
        <v>1</v>
      </c>
      <c r="BC83" s="50">
        <v>33.333333333333336</v>
      </c>
      <c r="BD83" s="49">
        <v>3</v>
      </c>
      <c r="BE83" s="49"/>
      <c r="BF83" s="49"/>
      <c r="BG83" s="49"/>
      <c r="BH83" s="49"/>
      <c r="BI83" s="49"/>
      <c r="BJ83" s="49"/>
      <c r="BK83" s="115" t="s">
        <v>1125</v>
      </c>
      <c r="BL83" s="115" t="s">
        <v>1125</v>
      </c>
      <c r="BM83" s="115" t="s">
        <v>1634</v>
      </c>
      <c r="BN83" s="115" t="s">
        <v>1634</v>
      </c>
      <c r="BO83" s="2"/>
      <c r="BP83" s="3"/>
      <c r="BQ83" s="3"/>
      <c r="BR83" s="3"/>
      <c r="BS83" s="3"/>
    </row>
    <row r="84" spans="1:71" ht="15">
      <c r="A84" s="66" t="s">
        <v>302</v>
      </c>
      <c r="B84" s="67"/>
      <c r="C84" s="67"/>
      <c r="D84" s="68">
        <v>150</v>
      </c>
      <c r="E84" s="70"/>
      <c r="F84" s="103" t="str">
        <f>HYPERLINK("https://yt3.ggpht.com/ytc/AOPolaRR1tbP6DI1E3gSNTUxNHvrX8Fs6ggkghugmQ=s88-c-k-c0x00ffffff-no-rj")</f>
        <v>https://yt3.ggpht.com/ytc/AOPolaRR1tbP6DI1E3gSNTUxNHvrX8Fs6ggkghugmQ=s88-c-k-c0x00ffffff-no-rj</v>
      </c>
      <c r="G84" s="67"/>
      <c r="H84" s="71" t="s">
        <v>619</v>
      </c>
      <c r="I84" s="72"/>
      <c r="J84" s="72" t="s">
        <v>159</v>
      </c>
      <c r="K84" s="71" t="s">
        <v>619</v>
      </c>
      <c r="L84" s="75">
        <v>1</v>
      </c>
      <c r="M84" s="76">
        <v>1736.8564453125</v>
      </c>
      <c r="N84" s="76">
        <v>456.2088317871094</v>
      </c>
      <c r="O84" s="77"/>
      <c r="P84" s="78"/>
      <c r="Q84" s="78"/>
      <c r="R84" s="89"/>
      <c r="S84" s="49">
        <v>0</v>
      </c>
      <c r="T84" s="49">
        <v>1</v>
      </c>
      <c r="U84" s="50">
        <v>0</v>
      </c>
      <c r="V84" s="50">
        <v>0.256952</v>
      </c>
      <c r="W84" s="50">
        <v>0.071778</v>
      </c>
      <c r="X84" s="50">
        <v>0.004811</v>
      </c>
      <c r="Y84" s="50">
        <v>0</v>
      </c>
      <c r="Z84" s="50">
        <v>0</v>
      </c>
      <c r="AA84" s="73">
        <v>84</v>
      </c>
      <c r="AB84" s="73"/>
      <c r="AC84" s="74"/>
      <c r="AD84" s="81" t="s">
        <v>619</v>
      </c>
      <c r="AE84" s="81"/>
      <c r="AF84" s="81"/>
      <c r="AG84" s="81"/>
      <c r="AH84" s="81"/>
      <c r="AI84" s="81" t="s">
        <v>956</v>
      </c>
      <c r="AJ84" s="85">
        <v>43334.77943287037</v>
      </c>
      <c r="AK84" s="83" t="str">
        <f>HYPERLINK("https://yt3.ggpht.com/ytc/AOPolaRR1tbP6DI1E3gSNTUxNHvrX8Fs6ggkghugmQ=s88-c-k-c0x00ffffff-no-rj")</f>
        <v>https://yt3.ggpht.com/ytc/AOPolaRR1tbP6DI1E3gSNTUxNHvrX8Fs6ggkghugmQ=s88-c-k-c0x00ffffff-no-rj</v>
      </c>
      <c r="AL84" s="81">
        <v>0</v>
      </c>
      <c r="AM84" s="81">
        <v>0</v>
      </c>
      <c r="AN84" s="81">
        <v>3</v>
      </c>
      <c r="AO84" s="81" t="b">
        <v>0</v>
      </c>
      <c r="AP84" s="81">
        <v>0</v>
      </c>
      <c r="AQ84" s="81"/>
      <c r="AR84" s="81"/>
      <c r="AS84" s="81" t="s">
        <v>1057</v>
      </c>
      <c r="AT84" s="83" t="str">
        <f>HYPERLINK("https://www.youtube.com/channel/UCk1zLD771AWUPA6SieoPK-Q")</f>
        <v>https://www.youtube.com/channel/UCk1zLD771AWUPA6SieoPK-Q</v>
      </c>
      <c r="AU84" s="81">
        <v>1</v>
      </c>
      <c r="AV84" s="49">
        <v>1</v>
      </c>
      <c r="AW84" s="50">
        <v>33.333333333333336</v>
      </c>
      <c r="AX84" s="49">
        <v>0</v>
      </c>
      <c r="AY84" s="50">
        <v>0</v>
      </c>
      <c r="AZ84" s="49">
        <v>0</v>
      </c>
      <c r="BA84" s="50">
        <v>0</v>
      </c>
      <c r="BB84" s="49">
        <v>1</v>
      </c>
      <c r="BC84" s="50">
        <v>33.333333333333336</v>
      </c>
      <c r="BD84" s="49">
        <v>3</v>
      </c>
      <c r="BE84" s="49"/>
      <c r="BF84" s="49"/>
      <c r="BG84" s="49"/>
      <c r="BH84" s="49"/>
      <c r="BI84" s="49"/>
      <c r="BJ84" s="49"/>
      <c r="BK84" s="115" t="s">
        <v>1126</v>
      </c>
      <c r="BL84" s="115" t="s">
        <v>1126</v>
      </c>
      <c r="BM84" s="115" t="s">
        <v>1254</v>
      </c>
      <c r="BN84" s="115" t="s">
        <v>1254</v>
      </c>
      <c r="BO84" s="2"/>
      <c r="BP84" s="3"/>
      <c r="BQ84" s="3"/>
      <c r="BR84" s="3"/>
      <c r="BS84" s="3"/>
    </row>
    <row r="85" spans="1:71" ht="15">
      <c r="A85" s="66" t="s">
        <v>303</v>
      </c>
      <c r="B85" s="67"/>
      <c r="C85" s="67"/>
      <c r="D85" s="68">
        <v>150</v>
      </c>
      <c r="E85" s="70"/>
      <c r="F85" s="103" t="str">
        <f>HYPERLINK("https://yt3.ggpht.com/ytc/AOPolaTITsYoh3gf-oX_lEtUCdvnQgdzs4PvflM80w=s88-c-k-c0x00ffffff-no-rj")</f>
        <v>https://yt3.ggpht.com/ytc/AOPolaTITsYoh3gf-oX_lEtUCdvnQgdzs4PvflM80w=s88-c-k-c0x00ffffff-no-rj</v>
      </c>
      <c r="G85" s="67"/>
      <c r="H85" s="71" t="s">
        <v>620</v>
      </c>
      <c r="I85" s="72"/>
      <c r="J85" s="72" t="s">
        <v>159</v>
      </c>
      <c r="K85" s="71" t="s">
        <v>620</v>
      </c>
      <c r="L85" s="75">
        <v>1</v>
      </c>
      <c r="M85" s="76">
        <v>4496.2431640625</v>
      </c>
      <c r="N85" s="76">
        <v>1759.20361328125</v>
      </c>
      <c r="O85" s="77"/>
      <c r="P85" s="78"/>
      <c r="Q85" s="78"/>
      <c r="R85" s="89"/>
      <c r="S85" s="49">
        <v>0</v>
      </c>
      <c r="T85" s="49">
        <v>1</v>
      </c>
      <c r="U85" s="50">
        <v>0</v>
      </c>
      <c r="V85" s="50">
        <v>0.256952</v>
      </c>
      <c r="W85" s="50">
        <v>0.071778</v>
      </c>
      <c r="X85" s="50">
        <v>0.004811</v>
      </c>
      <c r="Y85" s="50">
        <v>0</v>
      </c>
      <c r="Z85" s="50">
        <v>0</v>
      </c>
      <c r="AA85" s="73">
        <v>85</v>
      </c>
      <c r="AB85" s="73"/>
      <c r="AC85" s="74"/>
      <c r="AD85" s="81" t="s">
        <v>620</v>
      </c>
      <c r="AE85" s="81"/>
      <c r="AF85" s="81"/>
      <c r="AG85" s="81"/>
      <c r="AH85" s="81"/>
      <c r="AI85" s="81" t="s">
        <v>957</v>
      </c>
      <c r="AJ85" s="85">
        <v>43417.88166666667</v>
      </c>
      <c r="AK85" s="83" t="str">
        <f>HYPERLINK("https://yt3.ggpht.com/ytc/AOPolaTITsYoh3gf-oX_lEtUCdvnQgdzs4PvflM80w=s88-c-k-c0x00ffffff-no-rj")</f>
        <v>https://yt3.ggpht.com/ytc/AOPolaTITsYoh3gf-oX_lEtUCdvnQgdzs4PvflM80w=s88-c-k-c0x00ffffff-no-rj</v>
      </c>
      <c r="AL85" s="81">
        <v>0</v>
      </c>
      <c r="AM85" s="81">
        <v>0</v>
      </c>
      <c r="AN85" s="81">
        <v>0</v>
      </c>
      <c r="AO85" s="81" t="b">
        <v>0</v>
      </c>
      <c r="AP85" s="81">
        <v>0</v>
      </c>
      <c r="AQ85" s="81"/>
      <c r="AR85" s="81"/>
      <c r="AS85" s="81" t="s">
        <v>1057</v>
      </c>
      <c r="AT85" s="83" t="str">
        <f>HYPERLINK("https://www.youtube.com/channel/UCqNqnSJ9_Aa1qTwzuVCv_Ng")</f>
        <v>https://www.youtube.com/channel/UCqNqnSJ9_Aa1qTwzuVCv_Ng</v>
      </c>
      <c r="AU85" s="81">
        <v>1</v>
      </c>
      <c r="AV85" s="49">
        <v>0</v>
      </c>
      <c r="AW85" s="50">
        <v>0</v>
      </c>
      <c r="AX85" s="49">
        <v>0</v>
      </c>
      <c r="AY85" s="50">
        <v>0</v>
      </c>
      <c r="AZ85" s="49">
        <v>0</v>
      </c>
      <c r="BA85" s="50">
        <v>0</v>
      </c>
      <c r="BB85" s="49">
        <v>1</v>
      </c>
      <c r="BC85" s="50">
        <v>20</v>
      </c>
      <c r="BD85" s="49">
        <v>5</v>
      </c>
      <c r="BE85" s="49"/>
      <c r="BF85" s="49"/>
      <c r="BG85" s="49"/>
      <c r="BH85" s="49"/>
      <c r="BI85" s="49"/>
      <c r="BJ85" s="49"/>
      <c r="BK85" s="115" t="s">
        <v>1127</v>
      </c>
      <c r="BL85" s="115" t="s">
        <v>1127</v>
      </c>
      <c r="BM85" s="115" t="s">
        <v>1634</v>
      </c>
      <c r="BN85" s="115" t="s">
        <v>1634</v>
      </c>
      <c r="BO85" s="2"/>
      <c r="BP85" s="3"/>
      <c r="BQ85" s="3"/>
      <c r="BR85" s="3"/>
      <c r="BS85" s="3"/>
    </row>
    <row r="86" spans="1:71" ht="15">
      <c r="A86" s="66" t="s">
        <v>304</v>
      </c>
      <c r="B86" s="67"/>
      <c r="C86" s="67"/>
      <c r="D86" s="68">
        <v>150</v>
      </c>
      <c r="E86" s="70"/>
      <c r="F86" s="103" t="str">
        <f>HYPERLINK("https://yt3.ggpht.com/9SYwoVnXYL1SwzbENHHaxpd7-BoitD3ZW0rOcp-UoSD41juf5bsq9Vk--h0naf5FPJ91QMOY1A=s88-c-k-c0x00ffffff-no-rj")</f>
        <v>https://yt3.ggpht.com/9SYwoVnXYL1SwzbENHHaxpd7-BoitD3ZW0rOcp-UoSD41juf5bsq9Vk--h0naf5FPJ91QMOY1A=s88-c-k-c0x00ffffff-no-rj</v>
      </c>
      <c r="G86" s="67"/>
      <c r="H86" s="71" t="s">
        <v>621</v>
      </c>
      <c r="I86" s="72"/>
      <c r="J86" s="72" t="s">
        <v>159</v>
      </c>
      <c r="K86" s="71" t="s">
        <v>621</v>
      </c>
      <c r="L86" s="75">
        <v>1</v>
      </c>
      <c r="M86" s="76">
        <v>706.3560791015625</v>
      </c>
      <c r="N86" s="76">
        <v>6244.3671875</v>
      </c>
      <c r="O86" s="77"/>
      <c r="P86" s="78"/>
      <c r="Q86" s="78"/>
      <c r="R86" s="89"/>
      <c r="S86" s="49">
        <v>0</v>
      </c>
      <c r="T86" s="49">
        <v>1</v>
      </c>
      <c r="U86" s="50">
        <v>0</v>
      </c>
      <c r="V86" s="50">
        <v>0.256952</v>
      </c>
      <c r="W86" s="50">
        <v>0.071778</v>
      </c>
      <c r="X86" s="50">
        <v>0.004811</v>
      </c>
      <c r="Y86" s="50">
        <v>0</v>
      </c>
      <c r="Z86" s="50">
        <v>0</v>
      </c>
      <c r="AA86" s="73">
        <v>86</v>
      </c>
      <c r="AB86" s="73"/>
      <c r="AC86" s="74"/>
      <c r="AD86" s="81" t="s">
        <v>621</v>
      </c>
      <c r="AE86" s="81" t="s">
        <v>833</v>
      </c>
      <c r="AF86" s="81"/>
      <c r="AG86" s="81"/>
      <c r="AH86" s="81"/>
      <c r="AI86" s="81" t="s">
        <v>958</v>
      </c>
      <c r="AJ86" s="85">
        <v>41268.3159375</v>
      </c>
      <c r="AK86" s="83" t="str">
        <f>HYPERLINK("https://yt3.ggpht.com/9SYwoVnXYL1SwzbENHHaxpd7-BoitD3ZW0rOcp-UoSD41juf5bsq9Vk--h0naf5FPJ91QMOY1A=s88-c-k-c0x00ffffff-no-rj")</f>
        <v>https://yt3.ggpht.com/9SYwoVnXYL1SwzbENHHaxpd7-BoitD3ZW0rOcp-UoSD41juf5bsq9Vk--h0naf5FPJ91QMOY1A=s88-c-k-c0x00ffffff-no-rj</v>
      </c>
      <c r="AL86" s="81">
        <v>54096</v>
      </c>
      <c r="AM86" s="81">
        <v>0</v>
      </c>
      <c r="AN86" s="81">
        <v>487</v>
      </c>
      <c r="AO86" s="81" t="b">
        <v>0</v>
      </c>
      <c r="AP86" s="81">
        <v>89</v>
      </c>
      <c r="AQ86" s="81"/>
      <c r="AR86" s="81"/>
      <c r="AS86" s="81" t="s">
        <v>1057</v>
      </c>
      <c r="AT86" s="83" t="str">
        <f>HYPERLINK("https://www.youtube.com/channel/UC2TypNPSjOzKxTFc82N7BCw")</f>
        <v>https://www.youtube.com/channel/UC2TypNPSjOzKxTFc82N7BCw</v>
      </c>
      <c r="AU86" s="81">
        <v>1</v>
      </c>
      <c r="AV86" s="49">
        <v>1</v>
      </c>
      <c r="AW86" s="50">
        <v>16.666666666666668</v>
      </c>
      <c r="AX86" s="49">
        <v>0</v>
      </c>
      <c r="AY86" s="50">
        <v>0</v>
      </c>
      <c r="AZ86" s="49">
        <v>0</v>
      </c>
      <c r="BA86" s="50">
        <v>0</v>
      </c>
      <c r="BB86" s="49">
        <v>2</v>
      </c>
      <c r="BC86" s="50">
        <v>33.333333333333336</v>
      </c>
      <c r="BD86" s="49">
        <v>6</v>
      </c>
      <c r="BE86" s="49"/>
      <c r="BF86" s="49"/>
      <c r="BG86" s="49"/>
      <c r="BH86" s="49"/>
      <c r="BI86" s="49"/>
      <c r="BJ86" s="49"/>
      <c r="BK86" s="115" t="s">
        <v>1128</v>
      </c>
      <c r="BL86" s="115" t="s">
        <v>1128</v>
      </c>
      <c r="BM86" s="115" t="s">
        <v>1255</v>
      </c>
      <c r="BN86" s="115" t="s">
        <v>1255</v>
      </c>
      <c r="BO86" s="2"/>
      <c r="BP86" s="3"/>
      <c r="BQ86" s="3"/>
      <c r="BR86" s="3"/>
      <c r="BS86" s="3"/>
    </row>
    <row r="87" spans="1:71" ht="15">
      <c r="A87" s="66" t="s">
        <v>305</v>
      </c>
      <c r="B87" s="67"/>
      <c r="C87" s="67"/>
      <c r="D87" s="68">
        <v>150</v>
      </c>
      <c r="E87" s="70"/>
      <c r="F87" s="103" t="str">
        <f>HYPERLINK("https://yt3.ggpht.com/ytc/AOPolaSfw6a_h9NJdgBL0LvZXEU7IfIrjhndDkqQ_8nn9A=s88-c-k-c0x00ffffff-no-rj")</f>
        <v>https://yt3.ggpht.com/ytc/AOPolaSfw6a_h9NJdgBL0LvZXEU7IfIrjhndDkqQ_8nn9A=s88-c-k-c0x00ffffff-no-rj</v>
      </c>
      <c r="G87" s="67"/>
      <c r="H87" s="71" t="s">
        <v>622</v>
      </c>
      <c r="I87" s="72"/>
      <c r="J87" s="72" t="s">
        <v>159</v>
      </c>
      <c r="K87" s="71" t="s">
        <v>622</v>
      </c>
      <c r="L87" s="75">
        <v>1</v>
      </c>
      <c r="M87" s="76">
        <v>2612.239990234375</v>
      </c>
      <c r="N87" s="76">
        <v>6094.47265625</v>
      </c>
      <c r="O87" s="77"/>
      <c r="P87" s="78"/>
      <c r="Q87" s="78"/>
      <c r="R87" s="89"/>
      <c r="S87" s="49">
        <v>0</v>
      </c>
      <c r="T87" s="49">
        <v>1</v>
      </c>
      <c r="U87" s="50">
        <v>0</v>
      </c>
      <c r="V87" s="50">
        <v>0.256952</v>
      </c>
      <c r="W87" s="50">
        <v>0.071778</v>
      </c>
      <c r="X87" s="50">
        <v>0.004811</v>
      </c>
      <c r="Y87" s="50">
        <v>0</v>
      </c>
      <c r="Z87" s="50">
        <v>0</v>
      </c>
      <c r="AA87" s="73">
        <v>87</v>
      </c>
      <c r="AB87" s="73"/>
      <c r="AC87" s="74"/>
      <c r="AD87" s="81" t="s">
        <v>622</v>
      </c>
      <c r="AE87" s="81" t="s">
        <v>834</v>
      </c>
      <c r="AF87" s="81"/>
      <c r="AG87" s="81"/>
      <c r="AH87" s="81"/>
      <c r="AI87" s="81" t="s">
        <v>959</v>
      </c>
      <c r="AJ87" s="85">
        <v>43056.08641203704</v>
      </c>
      <c r="AK87" s="83" t="str">
        <f>HYPERLINK("https://yt3.ggpht.com/ytc/AOPolaSfw6a_h9NJdgBL0LvZXEU7IfIrjhndDkqQ_8nn9A=s88-c-k-c0x00ffffff-no-rj")</f>
        <v>https://yt3.ggpht.com/ytc/AOPolaSfw6a_h9NJdgBL0LvZXEU7IfIrjhndDkqQ_8nn9A=s88-c-k-c0x00ffffff-no-rj</v>
      </c>
      <c r="AL87" s="81">
        <v>3172</v>
      </c>
      <c r="AM87" s="81">
        <v>0</v>
      </c>
      <c r="AN87" s="81">
        <v>95</v>
      </c>
      <c r="AO87" s="81" t="b">
        <v>0</v>
      </c>
      <c r="AP87" s="81">
        <v>31</v>
      </c>
      <c r="AQ87" s="81"/>
      <c r="AR87" s="81"/>
      <c r="AS87" s="81" t="s">
        <v>1057</v>
      </c>
      <c r="AT87" s="83" t="str">
        <f>HYPERLINK("https://www.youtube.com/channel/UCTeW3jGTyEtRefG0sMeY0vw")</f>
        <v>https://www.youtube.com/channel/UCTeW3jGTyEtRefG0sMeY0vw</v>
      </c>
      <c r="AU87" s="81">
        <v>1</v>
      </c>
      <c r="AV87" s="49">
        <v>2</v>
      </c>
      <c r="AW87" s="50">
        <v>10</v>
      </c>
      <c r="AX87" s="49">
        <v>0</v>
      </c>
      <c r="AY87" s="50">
        <v>0</v>
      </c>
      <c r="AZ87" s="49">
        <v>0</v>
      </c>
      <c r="BA87" s="50">
        <v>0</v>
      </c>
      <c r="BB87" s="49">
        <v>12</v>
      </c>
      <c r="BC87" s="50">
        <v>60</v>
      </c>
      <c r="BD87" s="49">
        <v>20</v>
      </c>
      <c r="BE87" s="49"/>
      <c r="BF87" s="49"/>
      <c r="BG87" s="49"/>
      <c r="BH87" s="49"/>
      <c r="BI87" s="49"/>
      <c r="BJ87" s="49"/>
      <c r="BK87" s="115" t="s">
        <v>1129</v>
      </c>
      <c r="BL87" s="115" t="s">
        <v>1129</v>
      </c>
      <c r="BM87" s="115" t="s">
        <v>1256</v>
      </c>
      <c r="BN87" s="115" t="s">
        <v>1256</v>
      </c>
      <c r="BO87" s="2"/>
      <c r="BP87" s="3"/>
      <c r="BQ87" s="3"/>
      <c r="BR87" s="3"/>
      <c r="BS87" s="3"/>
    </row>
    <row r="88" spans="1:71" ht="15">
      <c r="A88" s="66" t="s">
        <v>306</v>
      </c>
      <c r="B88" s="67"/>
      <c r="C88" s="67"/>
      <c r="D88" s="68">
        <v>150</v>
      </c>
      <c r="E88" s="70"/>
      <c r="F88" s="103" t="str">
        <f>HYPERLINK("https://yt3.ggpht.com/ytc/AOPolaSnwwdR8Bjp2nDe5TI-LAYEqtcMZ9IZ2UKA3z9_=s88-c-k-c0x00ffffff-no-rj")</f>
        <v>https://yt3.ggpht.com/ytc/AOPolaSnwwdR8Bjp2nDe5TI-LAYEqtcMZ9IZ2UKA3z9_=s88-c-k-c0x00ffffff-no-rj</v>
      </c>
      <c r="G88" s="67"/>
      <c r="H88" s="71" t="s">
        <v>623</v>
      </c>
      <c r="I88" s="72"/>
      <c r="J88" s="72" t="s">
        <v>159</v>
      </c>
      <c r="K88" s="71" t="s">
        <v>623</v>
      </c>
      <c r="L88" s="75">
        <v>1</v>
      </c>
      <c r="M88" s="76">
        <v>4927.25927734375</v>
      </c>
      <c r="N88" s="76">
        <v>6719.85546875</v>
      </c>
      <c r="O88" s="77"/>
      <c r="P88" s="78"/>
      <c r="Q88" s="78"/>
      <c r="R88" s="89"/>
      <c r="S88" s="49">
        <v>0</v>
      </c>
      <c r="T88" s="49">
        <v>1</v>
      </c>
      <c r="U88" s="50">
        <v>0</v>
      </c>
      <c r="V88" s="50">
        <v>0.256952</v>
      </c>
      <c r="W88" s="50">
        <v>0.071778</v>
      </c>
      <c r="X88" s="50">
        <v>0.004811</v>
      </c>
      <c r="Y88" s="50">
        <v>0</v>
      </c>
      <c r="Z88" s="50">
        <v>0</v>
      </c>
      <c r="AA88" s="73">
        <v>88</v>
      </c>
      <c r="AB88" s="73"/>
      <c r="AC88" s="74"/>
      <c r="AD88" s="81" t="s">
        <v>623</v>
      </c>
      <c r="AE88" s="81"/>
      <c r="AF88" s="81"/>
      <c r="AG88" s="81"/>
      <c r="AH88" s="81"/>
      <c r="AI88" s="81" t="s">
        <v>960</v>
      </c>
      <c r="AJ88" s="85">
        <v>40483.69207175926</v>
      </c>
      <c r="AK88" s="83" t="str">
        <f>HYPERLINK("https://yt3.ggpht.com/ytc/AOPolaSnwwdR8Bjp2nDe5TI-LAYEqtcMZ9IZ2UKA3z9_=s88-c-k-c0x00ffffff-no-rj")</f>
        <v>https://yt3.ggpht.com/ytc/AOPolaSnwwdR8Bjp2nDe5TI-LAYEqtcMZ9IZ2UKA3z9_=s88-c-k-c0x00ffffff-no-rj</v>
      </c>
      <c r="AL88" s="81">
        <v>309</v>
      </c>
      <c r="AM88" s="81">
        <v>0</v>
      </c>
      <c r="AN88" s="81">
        <v>16</v>
      </c>
      <c r="AO88" s="81" t="b">
        <v>0</v>
      </c>
      <c r="AP88" s="81">
        <v>1</v>
      </c>
      <c r="AQ88" s="81"/>
      <c r="AR88" s="81"/>
      <c r="AS88" s="81" t="s">
        <v>1057</v>
      </c>
      <c r="AT88" s="83" t="str">
        <f>HYPERLINK("https://www.youtube.com/channel/UCyryTouSFjIUOJpuYXjkOgg")</f>
        <v>https://www.youtube.com/channel/UCyryTouSFjIUOJpuYXjkOgg</v>
      </c>
      <c r="AU88" s="81">
        <v>1</v>
      </c>
      <c r="AV88" s="49">
        <v>1</v>
      </c>
      <c r="AW88" s="50">
        <v>50</v>
      </c>
      <c r="AX88" s="49">
        <v>0</v>
      </c>
      <c r="AY88" s="50">
        <v>0</v>
      </c>
      <c r="AZ88" s="49">
        <v>0</v>
      </c>
      <c r="BA88" s="50">
        <v>0</v>
      </c>
      <c r="BB88" s="49">
        <v>1</v>
      </c>
      <c r="BC88" s="50">
        <v>50</v>
      </c>
      <c r="BD88" s="49">
        <v>2</v>
      </c>
      <c r="BE88" s="49"/>
      <c r="BF88" s="49"/>
      <c r="BG88" s="49"/>
      <c r="BH88" s="49"/>
      <c r="BI88" s="49"/>
      <c r="BJ88" s="49"/>
      <c r="BK88" s="115" t="s">
        <v>1130</v>
      </c>
      <c r="BL88" s="115" t="s">
        <v>1130</v>
      </c>
      <c r="BM88" s="115" t="s">
        <v>1257</v>
      </c>
      <c r="BN88" s="115" t="s">
        <v>1257</v>
      </c>
      <c r="BO88" s="2"/>
      <c r="BP88" s="3"/>
      <c r="BQ88" s="3"/>
      <c r="BR88" s="3"/>
      <c r="BS88" s="3"/>
    </row>
    <row r="89" spans="1:71" ht="15">
      <c r="A89" s="66" t="s">
        <v>307</v>
      </c>
      <c r="B89" s="67"/>
      <c r="C89" s="67"/>
      <c r="D89" s="68">
        <v>150</v>
      </c>
      <c r="E89" s="70"/>
      <c r="F89" s="103" t="str">
        <f>HYPERLINK("https://yt3.ggpht.com/ytc/AOPolaR0k6sCrXsqhzfvHZzGHk4gGB2Q5-iLQTNQ1w=s88-c-k-c0x00ffffff-no-rj")</f>
        <v>https://yt3.ggpht.com/ytc/AOPolaR0k6sCrXsqhzfvHZzGHk4gGB2Q5-iLQTNQ1w=s88-c-k-c0x00ffffff-no-rj</v>
      </c>
      <c r="G89" s="67"/>
      <c r="H89" s="71" t="s">
        <v>624</v>
      </c>
      <c r="I89" s="72"/>
      <c r="J89" s="72" t="s">
        <v>159</v>
      </c>
      <c r="K89" s="71" t="s">
        <v>624</v>
      </c>
      <c r="L89" s="75">
        <v>1</v>
      </c>
      <c r="M89" s="76">
        <v>3272.225830078125</v>
      </c>
      <c r="N89" s="76">
        <v>8849.1220703125</v>
      </c>
      <c r="O89" s="77"/>
      <c r="P89" s="78"/>
      <c r="Q89" s="78"/>
      <c r="R89" s="89"/>
      <c r="S89" s="49">
        <v>0</v>
      </c>
      <c r="T89" s="49">
        <v>1</v>
      </c>
      <c r="U89" s="50">
        <v>0</v>
      </c>
      <c r="V89" s="50">
        <v>0.256952</v>
      </c>
      <c r="W89" s="50">
        <v>0.071778</v>
      </c>
      <c r="X89" s="50">
        <v>0.004811</v>
      </c>
      <c r="Y89" s="50">
        <v>0</v>
      </c>
      <c r="Z89" s="50">
        <v>0</v>
      </c>
      <c r="AA89" s="73">
        <v>89</v>
      </c>
      <c r="AB89" s="73"/>
      <c r="AC89" s="74"/>
      <c r="AD89" s="81" t="s">
        <v>624</v>
      </c>
      <c r="AE89" s="81"/>
      <c r="AF89" s="81"/>
      <c r="AG89" s="81"/>
      <c r="AH89" s="81"/>
      <c r="AI89" s="81" t="s">
        <v>961</v>
      </c>
      <c r="AJ89" s="85">
        <v>41031.40850694444</v>
      </c>
      <c r="AK89" s="83" t="str">
        <f>HYPERLINK("https://yt3.ggpht.com/ytc/AOPolaR0k6sCrXsqhzfvHZzGHk4gGB2Q5-iLQTNQ1w=s88-c-k-c0x00ffffff-no-rj")</f>
        <v>https://yt3.ggpht.com/ytc/AOPolaR0k6sCrXsqhzfvHZzGHk4gGB2Q5-iLQTNQ1w=s88-c-k-c0x00ffffff-no-rj</v>
      </c>
      <c r="AL89" s="81">
        <v>0</v>
      </c>
      <c r="AM89" s="81">
        <v>0</v>
      </c>
      <c r="AN89" s="81">
        <v>2</v>
      </c>
      <c r="AO89" s="81" t="b">
        <v>0</v>
      </c>
      <c r="AP89" s="81">
        <v>0</v>
      </c>
      <c r="AQ89" s="81"/>
      <c r="AR89" s="81"/>
      <c r="AS89" s="81" t="s">
        <v>1057</v>
      </c>
      <c r="AT89" s="83" t="str">
        <f>HYPERLINK("https://www.youtube.com/channel/UC2vqaGFPXK5rtxmUgayj9Cg")</f>
        <v>https://www.youtube.com/channel/UC2vqaGFPXK5rtxmUgayj9Cg</v>
      </c>
      <c r="AU89" s="81">
        <v>1</v>
      </c>
      <c r="AV89" s="49">
        <v>1</v>
      </c>
      <c r="AW89" s="50">
        <v>6.25</v>
      </c>
      <c r="AX89" s="49">
        <v>0</v>
      </c>
      <c r="AY89" s="50">
        <v>0</v>
      </c>
      <c r="AZ89" s="49">
        <v>0</v>
      </c>
      <c r="BA89" s="50">
        <v>0</v>
      </c>
      <c r="BB89" s="49">
        <v>12</v>
      </c>
      <c r="BC89" s="50">
        <v>75</v>
      </c>
      <c r="BD89" s="49">
        <v>16</v>
      </c>
      <c r="BE89" s="49"/>
      <c r="BF89" s="49"/>
      <c r="BG89" s="49"/>
      <c r="BH89" s="49"/>
      <c r="BI89" s="49"/>
      <c r="BJ89" s="49"/>
      <c r="BK89" s="115" t="s">
        <v>1131</v>
      </c>
      <c r="BL89" s="115" t="s">
        <v>1131</v>
      </c>
      <c r="BM89" s="115" t="s">
        <v>1258</v>
      </c>
      <c r="BN89" s="115" t="s">
        <v>1258</v>
      </c>
      <c r="BO89" s="2"/>
      <c r="BP89" s="3"/>
      <c r="BQ89" s="3"/>
      <c r="BR89" s="3"/>
      <c r="BS89" s="3"/>
    </row>
    <row r="90" spans="1:71" ht="15">
      <c r="A90" s="66" t="s">
        <v>308</v>
      </c>
      <c r="B90" s="67"/>
      <c r="C90" s="67"/>
      <c r="D90" s="68">
        <v>150</v>
      </c>
      <c r="E90" s="70"/>
      <c r="F90" s="103" t="str">
        <f>HYPERLINK("https://yt3.ggpht.com/ytc/AOPolaRQc3fapTGN6hcbMoHEFF4gkfc1FOH5r-WpLQ=s88-c-k-c0x00ffffff-no-rj")</f>
        <v>https://yt3.ggpht.com/ytc/AOPolaRQc3fapTGN6hcbMoHEFF4gkfc1FOH5r-WpLQ=s88-c-k-c0x00ffffff-no-rj</v>
      </c>
      <c r="G90" s="67"/>
      <c r="H90" s="71" t="s">
        <v>625</v>
      </c>
      <c r="I90" s="72"/>
      <c r="J90" s="72" t="s">
        <v>159</v>
      </c>
      <c r="K90" s="71" t="s">
        <v>625</v>
      </c>
      <c r="L90" s="75">
        <v>1</v>
      </c>
      <c r="M90" s="76">
        <v>4053.51318359375</v>
      </c>
      <c r="N90" s="76">
        <v>4694.7529296875</v>
      </c>
      <c r="O90" s="77"/>
      <c r="P90" s="78"/>
      <c r="Q90" s="78"/>
      <c r="R90" s="89"/>
      <c r="S90" s="49">
        <v>0</v>
      </c>
      <c r="T90" s="49">
        <v>1</v>
      </c>
      <c r="U90" s="50">
        <v>0</v>
      </c>
      <c r="V90" s="50">
        <v>0.256952</v>
      </c>
      <c r="W90" s="50">
        <v>0.071778</v>
      </c>
      <c r="X90" s="50">
        <v>0.004811</v>
      </c>
      <c r="Y90" s="50">
        <v>0</v>
      </c>
      <c r="Z90" s="50">
        <v>0</v>
      </c>
      <c r="AA90" s="73">
        <v>90</v>
      </c>
      <c r="AB90" s="73"/>
      <c r="AC90" s="74"/>
      <c r="AD90" s="81" t="s">
        <v>625</v>
      </c>
      <c r="AE90" s="81"/>
      <c r="AF90" s="81"/>
      <c r="AG90" s="81"/>
      <c r="AH90" s="81"/>
      <c r="AI90" s="81" t="s">
        <v>962</v>
      </c>
      <c r="AJ90" s="85">
        <v>38973.42459490741</v>
      </c>
      <c r="AK90" s="83" t="str">
        <f>HYPERLINK("https://yt3.ggpht.com/ytc/AOPolaRQc3fapTGN6hcbMoHEFF4gkfc1FOH5r-WpLQ=s88-c-k-c0x00ffffff-no-rj")</f>
        <v>https://yt3.ggpht.com/ytc/AOPolaRQc3fapTGN6hcbMoHEFF4gkfc1FOH5r-WpLQ=s88-c-k-c0x00ffffff-no-rj</v>
      </c>
      <c r="AL90" s="81">
        <v>0</v>
      </c>
      <c r="AM90" s="81">
        <v>0</v>
      </c>
      <c r="AN90" s="81">
        <v>9</v>
      </c>
      <c r="AO90" s="81" t="b">
        <v>0</v>
      </c>
      <c r="AP90" s="81">
        <v>0</v>
      </c>
      <c r="AQ90" s="81"/>
      <c r="AR90" s="81"/>
      <c r="AS90" s="81" t="s">
        <v>1057</v>
      </c>
      <c r="AT90" s="83" t="str">
        <f>HYPERLINK("https://www.youtube.com/channel/UCv5TeVZtogFh83_Fji72NIQ")</f>
        <v>https://www.youtube.com/channel/UCv5TeVZtogFh83_Fji72NIQ</v>
      </c>
      <c r="AU90" s="81">
        <v>1</v>
      </c>
      <c r="AV90" s="49">
        <v>1</v>
      </c>
      <c r="AW90" s="50">
        <v>5</v>
      </c>
      <c r="AX90" s="49">
        <v>0</v>
      </c>
      <c r="AY90" s="50">
        <v>0</v>
      </c>
      <c r="AZ90" s="49">
        <v>0</v>
      </c>
      <c r="BA90" s="50">
        <v>0</v>
      </c>
      <c r="BB90" s="49">
        <v>6</v>
      </c>
      <c r="BC90" s="50">
        <v>30</v>
      </c>
      <c r="BD90" s="49">
        <v>20</v>
      </c>
      <c r="BE90" s="49"/>
      <c r="BF90" s="49"/>
      <c r="BG90" s="49"/>
      <c r="BH90" s="49"/>
      <c r="BI90" s="49"/>
      <c r="BJ90" s="49"/>
      <c r="BK90" s="115" t="s">
        <v>1132</v>
      </c>
      <c r="BL90" s="115" t="s">
        <v>1132</v>
      </c>
      <c r="BM90" s="115" t="s">
        <v>1259</v>
      </c>
      <c r="BN90" s="115" t="s">
        <v>1259</v>
      </c>
      <c r="BO90" s="2"/>
      <c r="BP90" s="3"/>
      <c r="BQ90" s="3"/>
      <c r="BR90" s="3"/>
      <c r="BS90" s="3"/>
    </row>
    <row r="91" spans="1:71" ht="15">
      <c r="A91" s="66" t="s">
        <v>309</v>
      </c>
      <c r="B91" s="67"/>
      <c r="C91" s="67"/>
      <c r="D91" s="68">
        <v>150</v>
      </c>
      <c r="E91" s="70"/>
      <c r="F91" s="103" t="str">
        <f>HYPERLINK("https://yt3.ggpht.com/ytc/AOPolaQdKbpMd5fpuHRB9sZDOnhz6QaflL2MNM1XdA=s88-c-k-c0x00ffffff-no-rj")</f>
        <v>https://yt3.ggpht.com/ytc/AOPolaQdKbpMd5fpuHRB9sZDOnhz6QaflL2MNM1XdA=s88-c-k-c0x00ffffff-no-rj</v>
      </c>
      <c r="G91" s="67"/>
      <c r="H91" s="71" t="s">
        <v>626</v>
      </c>
      <c r="I91" s="72"/>
      <c r="J91" s="72" t="s">
        <v>159</v>
      </c>
      <c r="K91" s="71" t="s">
        <v>626</v>
      </c>
      <c r="L91" s="75">
        <v>1</v>
      </c>
      <c r="M91" s="76">
        <v>3407.87451171875</v>
      </c>
      <c r="N91" s="76">
        <v>9612.423828125</v>
      </c>
      <c r="O91" s="77"/>
      <c r="P91" s="78"/>
      <c r="Q91" s="78"/>
      <c r="R91" s="89"/>
      <c r="S91" s="49">
        <v>0</v>
      </c>
      <c r="T91" s="49">
        <v>1</v>
      </c>
      <c r="U91" s="50">
        <v>0</v>
      </c>
      <c r="V91" s="50">
        <v>0.256952</v>
      </c>
      <c r="W91" s="50">
        <v>0.071778</v>
      </c>
      <c r="X91" s="50">
        <v>0.004811</v>
      </c>
      <c r="Y91" s="50">
        <v>0</v>
      </c>
      <c r="Z91" s="50">
        <v>0</v>
      </c>
      <c r="AA91" s="73">
        <v>91</v>
      </c>
      <c r="AB91" s="73"/>
      <c r="AC91" s="74"/>
      <c r="AD91" s="81" t="s">
        <v>626</v>
      </c>
      <c r="AE91" s="81"/>
      <c r="AF91" s="81"/>
      <c r="AG91" s="81"/>
      <c r="AH91" s="81"/>
      <c r="AI91" s="81" t="s">
        <v>963</v>
      </c>
      <c r="AJ91" s="85">
        <v>43684.574583333335</v>
      </c>
      <c r="AK91" s="83" t="str">
        <f>HYPERLINK("https://yt3.ggpht.com/ytc/AOPolaQdKbpMd5fpuHRB9sZDOnhz6QaflL2MNM1XdA=s88-c-k-c0x00ffffff-no-rj")</f>
        <v>https://yt3.ggpht.com/ytc/AOPolaQdKbpMd5fpuHRB9sZDOnhz6QaflL2MNM1XdA=s88-c-k-c0x00ffffff-no-rj</v>
      </c>
      <c r="AL91" s="81">
        <v>0</v>
      </c>
      <c r="AM91" s="81">
        <v>0</v>
      </c>
      <c r="AN91" s="81">
        <v>0</v>
      </c>
      <c r="AO91" s="81" t="b">
        <v>0</v>
      </c>
      <c r="AP91" s="81">
        <v>0</v>
      </c>
      <c r="AQ91" s="81"/>
      <c r="AR91" s="81"/>
      <c r="AS91" s="81" t="s">
        <v>1057</v>
      </c>
      <c r="AT91" s="83" t="str">
        <f>HYPERLINK("https://www.youtube.com/channel/UCM-2xp_NNRkBBMxfmIR0ygA")</f>
        <v>https://www.youtube.com/channel/UCM-2xp_NNRkBBMxfmIR0ygA</v>
      </c>
      <c r="AU91" s="81">
        <v>1</v>
      </c>
      <c r="AV91" s="49">
        <v>1</v>
      </c>
      <c r="AW91" s="50">
        <v>9.090909090909092</v>
      </c>
      <c r="AX91" s="49">
        <v>0</v>
      </c>
      <c r="AY91" s="50">
        <v>0</v>
      </c>
      <c r="AZ91" s="49">
        <v>0</v>
      </c>
      <c r="BA91" s="50">
        <v>0</v>
      </c>
      <c r="BB91" s="49">
        <v>6</v>
      </c>
      <c r="BC91" s="50">
        <v>54.54545454545455</v>
      </c>
      <c r="BD91" s="49">
        <v>11</v>
      </c>
      <c r="BE91" s="49"/>
      <c r="BF91" s="49"/>
      <c r="BG91" s="49"/>
      <c r="BH91" s="49"/>
      <c r="BI91" s="49"/>
      <c r="BJ91" s="49"/>
      <c r="BK91" s="115" t="s">
        <v>1133</v>
      </c>
      <c r="BL91" s="115" t="s">
        <v>1133</v>
      </c>
      <c r="BM91" s="115" t="s">
        <v>1260</v>
      </c>
      <c r="BN91" s="115" t="s">
        <v>1260</v>
      </c>
      <c r="BO91" s="2"/>
      <c r="BP91" s="3"/>
      <c r="BQ91" s="3"/>
      <c r="BR91" s="3"/>
      <c r="BS91" s="3"/>
    </row>
    <row r="92" spans="1:71" ht="15">
      <c r="A92" s="66" t="s">
        <v>310</v>
      </c>
      <c r="B92" s="67"/>
      <c r="C92" s="67"/>
      <c r="D92" s="68">
        <v>150</v>
      </c>
      <c r="E92" s="70"/>
      <c r="F92" s="103" t="str">
        <f>HYPERLINK("https://yt3.ggpht.com/ytc/AOPolaQ2GUKL61UW3JvOZtWXgJnpVH3md-ouDtsU1jSa9A=s88-c-k-c0x00ffffff-no-rj")</f>
        <v>https://yt3.ggpht.com/ytc/AOPolaQ2GUKL61UW3JvOZtWXgJnpVH3md-ouDtsU1jSa9A=s88-c-k-c0x00ffffff-no-rj</v>
      </c>
      <c r="G92" s="67"/>
      <c r="H92" s="71" t="s">
        <v>627</v>
      </c>
      <c r="I92" s="72"/>
      <c r="J92" s="72" t="s">
        <v>159</v>
      </c>
      <c r="K92" s="71" t="s">
        <v>627</v>
      </c>
      <c r="L92" s="75">
        <v>1</v>
      </c>
      <c r="M92" s="76">
        <v>1757.1600341796875</v>
      </c>
      <c r="N92" s="76">
        <v>8677.77734375</v>
      </c>
      <c r="O92" s="77"/>
      <c r="P92" s="78"/>
      <c r="Q92" s="78"/>
      <c r="R92" s="89"/>
      <c r="S92" s="49">
        <v>0</v>
      </c>
      <c r="T92" s="49">
        <v>1</v>
      </c>
      <c r="U92" s="50">
        <v>0</v>
      </c>
      <c r="V92" s="50">
        <v>0.256952</v>
      </c>
      <c r="W92" s="50">
        <v>0.071778</v>
      </c>
      <c r="X92" s="50">
        <v>0.004811</v>
      </c>
      <c r="Y92" s="50">
        <v>0</v>
      </c>
      <c r="Z92" s="50">
        <v>0</v>
      </c>
      <c r="AA92" s="73">
        <v>92</v>
      </c>
      <c r="AB92" s="73"/>
      <c r="AC92" s="74"/>
      <c r="AD92" s="81" t="s">
        <v>627</v>
      </c>
      <c r="AE92" s="81"/>
      <c r="AF92" s="81"/>
      <c r="AG92" s="81"/>
      <c r="AH92" s="81"/>
      <c r="AI92" s="81" t="s">
        <v>964</v>
      </c>
      <c r="AJ92" s="85">
        <v>43492.75844907408</v>
      </c>
      <c r="AK92" s="83" t="str">
        <f>HYPERLINK("https://yt3.ggpht.com/ytc/AOPolaQ2GUKL61UW3JvOZtWXgJnpVH3md-ouDtsU1jSa9A=s88-c-k-c0x00ffffff-no-rj")</f>
        <v>https://yt3.ggpht.com/ytc/AOPolaQ2GUKL61UW3JvOZtWXgJnpVH3md-ouDtsU1jSa9A=s88-c-k-c0x00ffffff-no-rj</v>
      </c>
      <c r="AL92" s="81">
        <v>0</v>
      </c>
      <c r="AM92" s="81">
        <v>0</v>
      </c>
      <c r="AN92" s="81">
        <v>1</v>
      </c>
      <c r="AO92" s="81" t="b">
        <v>0</v>
      </c>
      <c r="AP92" s="81">
        <v>0</v>
      </c>
      <c r="AQ92" s="81"/>
      <c r="AR92" s="81"/>
      <c r="AS92" s="81" t="s">
        <v>1057</v>
      </c>
      <c r="AT92" s="83" t="str">
        <f>HYPERLINK("https://www.youtube.com/channel/UCDJblvjBQLEgvuBerVeXghg")</f>
        <v>https://www.youtube.com/channel/UCDJblvjBQLEgvuBerVeXghg</v>
      </c>
      <c r="AU92" s="81">
        <v>1</v>
      </c>
      <c r="AV92" s="49">
        <v>4</v>
      </c>
      <c r="AW92" s="50">
        <v>5.194805194805195</v>
      </c>
      <c r="AX92" s="49">
        <v>3</v>
      </c>
      <c r="AY92" s="50">
        <v>3.896103896103896</v>
      </c>
      <c r="AZ92" s="49">
        <v>0</v>
      </c>
      <c r="BA92" s="50">
        <v>0</v>
      </c>
      <c r="BB92" s="49">
        <v>28</v>
      </c>
      <c r="BC92" s="50">
        <v>36.36363636363637</v>
      </c>
      <c r="BD92" s="49">
        <v>77</v>
      </c>
      <c r="BE92" s="49"/>
      <c r="BF92" s="49"/>
      <c r="BG92" s="49"/>
      <c r="BH92" s="49"/>
      <c r="BI92" s="49"/>
      <c r="BJ92" s="49"/>
      <c r="BK92" s="115" t="s">
        <v>1134</v>
      </c>
      <c r="BL92" s="115" t="s">
        <v>1134</v>
      </c>
      <c r="BM92" s="115" t="s">
        <v>1261</v>
      </c>
      <c r="BN92" s="115" t="s">
        <v>1261</v>
      </c>
      <c r="BO92" s="2"/>
      <c r="BP92" s="3"/>
      <c r="BQ92" s="3"/>
      <c r="BR92" s="3"/>
      <c r="BS92" s="3"/>
    </row>
    <row r="93" spans="1:71" ht="15">
      <c r="A93" s="66" t="s">
        <v>311</v>
      </c>
      <c r="B93" s="67"/>
      <c r="C93" s="67"/>
      <c r="D93" s="68">
        <v>150</v>
      </c>
      <c r="E93" s="70"/>
      <c r="F93" s="103" t="str">
        <f>HYPERLINK("https://yt3.ggpht.com/ytc/AOPolaRdQ6jTAn4k_soR5Wm1v4Us_nflmysnoel6yF8sbQ=s88-c-k-c0x00ffffff-no-rj")</f>
        <v>https://yt3.ggpht.com/ytc/AOPolaRdQ6jTAn4k_soR5Wm1v4Us_nflmysnoel6yF8sbQ=s88-c-k-c0x00ffffff-no-rj</v>
      </c>
      <c r="G93" s="67"/>
      <c r="H93" s="71" t="s">
        <v>628</v>
      </c>
      <c r="I93" s="72"/>
      <c r="J93" s="72" t="s">
        <v>159</v>
      </c>
      <c r="K93" s="71" t="s">
        <v>628</v>
      </c>
      <c r="L93" s="75">
        <v>1</v>
      </c>
      <c r="M93" s="76">
        <v>4058.47607421875</v>
      </c>
      <c r="N93" s="76">
        <v>3135.5517578125</v>
      </c>
      <c r="O93" s="77"/>
      <c r="P93" s="78"/>
      <c r="Q93" s="78"/>
      <c r="R93" s="89"/>
      <c r="S93" s="49">
        <v>0</v>
      </c>
      <c r="T93" s="49">
        <v>1</v>
      </c>
      <c r="U93" s="50">
        <v>0</v>
      </c>
      <c r="V93" s="50">
        <v>0.256952</v>
      </c>
      <c r="W93" s="50">
        <v>0.071778</v>
      </c>
      <c r="X93" s="50">
        <v>0.004811</v>
      </c>
      <c r="Y93" s="50">
        <v>0</v>
      </c>
      <c r="Z93" s="50">
        <v>0</v>
      </c>
      <c r="AA93" s="73">
        <v>93</v>
      </c>
      <c r="AB93" s="73"/>
      <c r="AC93" s="74"/>
      <c r="AD93" s="81" t="s">
        <v>628</v>
      </c>
      <c r="AE93" s="81" t="s">
        <v>835</v>
      </c>
      <c r="AF93" s="81"/>
      <c r="AG93" s="81"/>
      <c r="AH93" s="81"/>
      <c r="AI93" s="81" t="s">
        <v>965</v>
      </c>
      <c r="AJ93" s="85">
        <v>41715.28244212963</v>
      </c>
      <c r="AK93" s="83" t="str">
        <f>HYPERLINK("https://yt3.ggpht.com/ytc/AOPolaRdQ6jTAn4k_soR5Wm1v4Us_nflmysnoel6yF8sbQ=s88-c-k-c0x00ffffff-no-rj")</f>
        <v>https://yt3.ggpht.com/ytc/AOPolaRdQ6jTAn4k_soR5Wm1v4Us_nflmysnoel6yF8sbQ=s88-c-k-c0x00ffffff-no-rj</v>
      </c>
      <c r="AL93" s="81">
        <v>24403</v>
      </c>
      <c r="AM93" s="81">
        <v>0</v>
      </c>
      <c r="AN93" s="81">
        <v>48</v>
      </c>
      <c r="AO93" s="81" t="b">
        <v>0</v>
      </c>
      <c r="AP93" s="81">
        <v>4</v>
      </c>
      <c r="AQ93" s="81"/>
      <c r="AR93" s="81"/>
      <c r="AS93" s="81" t="s">
        <v>1057</v>
      </c>
      <c r="AT93" s="83" t="str">
        <f>HYPERLINK("https://www.youtube.com/channel/UCeu0i04HgzQh0IN2dYfnG6w")</f>
        <v>https://www.youtube.com/channel/UCeu0i04HgzQh0IN2dYfnG6w</v>
      </c>
      <c r="AU93" s="81">
        <v>1</v>
      </c>
      <c r="AV93" s="49">
        <v>1</v>
      </c>
      <c r="AW93" s="50">
        <v>33.333333333333336</v>
      </c>
      <c r="AX93" s="49">
        <v>0</v>
      </c>
      <c r="AY93" s="50">
        <v>0</v>
      </c>
      <c r="AZ93" s="49">
        <v>0</v>
      </c>
      <c r="BA93" s="50">
        <v>0</v>
      </c>
      <c r="BB93" s="49">
        <v>2</v>
      </c>
      <c r="BC93" s="50">
        <v>66.66666666666667</v>
      </c>
      <c r="BD93" s="49">
        <v>3</v>
      </c>
      <c r="BE93" s="49"/>
      <c r="BF93" s="49"/>
      <c r="BG93" s="49"/>
      <c r="BH93" s="49"/>
      <c r="BI93" s="49"/>
      <c r="BJ93" s="49"/>
      <c r="BK93" s="115" t="s">
        <v>1135</v>
      </c>
      <c r="BL93" s="115" t="s">
        <v>1135</v>
      </c>
      <c r="BM93" s="115" t="s">
        <v>1262</v>
      </c>
      <c r="BN93" s="115" t="s">
        <v>1262</v>
      </c>
      <c r="BO93" s="2"/>
      <c r="BP93" s="3"/>
      <c r="BQ93" s="3"/>
      <c r="BR93" s="3"/>
      <c r="BS93" s="3"/>
    </row>
    <row r="94" spans="1:71" ht="15">
      <c r="A94" s="66" t="s">
        <v>312</v>
      </c>
      <c r="B94" s="67"/>
      <c r="C94" s="67"/>
      <c r="D94" s="68">
        <v>150</v>
      </c>
      <c r="E94" s="70"/>
      <c r="F94" s="103" t="str">
        <f>HYPERLINK("https://yt3.ggpht.com/ytc/AOPolaRt3Lxm5sfrq2rHR7Xc3-Yc3kdyipg1ibAlslkR=s88-c-k-c0x00ffffff-no-rj")</f>
        <v>https://yt3.ggpht.com/ytc/AOPolaRt3Lxm5sfrq2rHR7Xc3-Yc3kdyipg1ibAlslkR=s88-c-k-c0x00ffffff-no-rj</v>
      </c>
      <c r="G94" s="67"/>
      <c r="H94" s="71" t="s">
        <v>629</v>
      </c>
      <c r="I94" s="72"/>
      <c r="J94" s="72" t="s">
        <v>159</v>
      </c>
      <c r="K94" s="71" t="s">
        <v>629</v>
      </c>
      <c r="L94" s="75">
        <v>1</v>
      </c>
      <c r="M94" s="76">
        <v>4131.7734375</v>
      </c>
      <c r="N94" s="76">
        <v>2157.009521484375</v>
      </c>
      <c r="O94" s="77"/>
      <c r="P94" s="78"/>
      <c r="Q94" s="78"/>
      <c r="R94" s="89"/>
      <c r="S94" s="49">
        <v>0</v>
      </c>
      <c r="T94" s="49">
        <v>1</v>
      </c>
      <c r="U94" s="50">
        <v>0</v>
      </c>
      <c r="V94" s="50">
        <v>0.256952</v>
      </c>
      <c r="W94" s="50">
        <v>0.071778</v>
      </c>
      <c r="X94" s="50">
        <v>0.004811</v>
      </c>
      <c r="Y94" s="50">
        <v>0</v>
      </c>
      <c r="Z94" s="50">
        <v>0</v>
      </c>
      <c r="AA94" s="73">
        <v>94</v>
      </c>
      <c r="AB94" s="73"/>
      <c r="AC94" s="74"/>
      <c r="AD94" s="81" t="s">
        <v>629</v>
      </c>
      <c r="AE94" s="81"/>
      <c r="AF94" s="81"/>
      <c r="AG94" s="81"/>
      <c r="AH94" s="81"/>
      <c r="AI94" s="81" t="s">
        <v>966</v>
      </c>
      <c r="AJ94" s="85">
        <v>40204.42303240741</v>
      </c>
      <c r="AK94" s="83" t="str">
        <f>HYPERLINK("https://yt3.ggpht.com/ytc/AOPolaRt3Lxm5sfrq2rHR7Xc3-Yc3kdyipg1ibAlslkR=s88-c-k-c0x00ffffff-no-rj")</f>
        <v>https://yt3.ggpht.com/ytc/AOPolaRt3Lxm5sfrq2rHR7Xc3-Yc3kdyipg1ibAlslkR=s88-c-k-c0x00ffffff-no-rj</v>
      </c>
      <c r="AL94" s="81">
        <v>23</v>
      </c>
      <c r="AM94" s="81">
        <v>0</v>
      </c>
      <c r="AN94" s="81">
        <v>0</v>
      </c>
      <c r="AO94" s="81" t="b">
        <v>0</v>
      </c>
      <c r="AP94" s="81">
        <v>1</v>
      </c>
      <c r="AQ94" s="81"/>
      <c r="AR94" s="81"/>
      <c r="AS94" s="81" t="s">
        <v>1057</v>
      </c>
      <c r="AT94" s="83" t="str">
        <f>HYPERLINK("https://www.youtube.com/channel/UCfAOHkpWLhMhsskxTvgujUQ")</f>
        <v>https://www.youtube.com/channel/UCfAOHkpWLhMhsskxTvgujUQ</v>
      </c>
      <c r="AU94" s="81">
        <v>1</v>
      </c>
      <c r="AV94" s="49">
        <v>0</v>
      </c>
      <c r="AW94" s="50">
        <v>0</v>
      </c>
      <c r="AX94" s="49">
        <v>0</v>
      </c>
      <c r="AY94" s="50">
        <v>0</v>
      </c>
      <c r="AZ94" s="49">
        <v>0</v>
      </c>
      <c r="BA94" s="50">
        <v>0</v>
      </c>
      <c r="BB94" s="49">
        <v>2</v>
      </c>
      <c r="BC94" s="50">
        <v>66.66666666666667</v>
      </c>
      <c r="BD94" s="49">
        <v>3</v>
      </c>
      <c r="BE94" s="49"/>
      <c r="BF94" s="49"/>
      <c r="BG94" s="49"/>
      <c r="BH94" s="49"/>
      <c r="BI94" s="49"/>
      <c r="BJ94" s="49"/>
      <c r="BK94" s="115" t="s">
        <v>1136</v>
      </c>
      <c r="BL94" s="115" t="s">
        <v>1136</v>
      </c>
      <c r="BM94" s="115" t="s">
        <v>1263</v>
      </c>
      <c r="BN94" s="115" t="s">
        <v>1263</v>
      </c>
      <c r="BO94" s="2"/>
      <c r="BP94" s="3"/>
      <c r="BQ94" s="3"/>
      <c r="BR94" s="3"/>
      <c r="BS94" s="3"/>
    </row>
    <row r="95" spans="1:71" ht="15">
      <c r="A95" s="66" t="s">
        <v>313</v>
      </c>
      <c r="B95" s="67"/>
      <c r="C95" s="67"/>
      <c r="D95" s="68">
        <v>150</v>
      </c>
      <c r="E95" s="70"/>
      <c r="F95" s="103" t="str">
        <f>HYPERLINK("https://yt3.ggpht.com/ytc/AOPolaTdz7d7DkFMedFBhj7Mqq3TD9ivMWW44Q3IfQ=s88-c-k-c0x00ffffff-no-rj")</f>
        <v>https://yt3.ggpht.com/ytc/AOPolaTdz7d7DkFMedFBhj7Mqq3TD9ivMWW44Q3IfQ=s88-c-k-c0x00ffffff-no-rj</v>
      </c>
      <c r="G95" s="67"/>
      <c r="H95" s="71" t="s">
        <v>630</v>
      </c>
      <c r="I95" s="72"/>
      <c r="J95" s="72" t="s">
        <v>159</v>
      </c>
      <c r="K95" s="71" t="s">
        <v>630</v>
      </c>
      <c r="L95" s="75">
        <v>1</v>
      </c>
      <c r="M95" s="76">
        <v>1266.735595703125</v>
      </c>
      <c r="N95" s="76">
        <v>3992.149169921875</v>
      </c>
      <c r="O95" s="77"/>
      <c r="P95" s="78"/>
      <c r="Q95" s="78"/>
      <c r="R95" s="89"/>
      <c r="S95" s="49">
        <v>0</v>
      </c>
      <c r="T95" s="49">
        <v>1</v>
      </c>
      <c r="U95" s="50">
        <v>0</v>
      </c>
      <c r="V95" s="50">
        <v>0.256952</v>
      </c>
      <c r="W95" s="50">
        <v>0.071778</v>
      </c>
      <c r="X95" s="50">
        <v>0.004811</v>
      </c>
      <c r="Y95" s="50">
        <v>0</v>
      </c>
      <c r="Z95" s="50">
        <v>0</v>
      </c>
      <c r="AA95" s="73">
        <v>95</v>
      </c>
      <c r="AB95" s="73"/>
      <c r="AC95" s="74"/>
      <c r="AD95" s="81" t="s">
        <v>630</v>
      </c>
      <c r="AE95" s="81"/>
      <c r="AF95" s="81"/>
      <c r="AG95" s="81"/>
      <c r="AH95" s="81"/>
      <c r="AI95" s="81" t="s">
        <v>967</v>
      </c>
      <c r="AJ95" s="85">
        <v>41848.31444444445</v>
      </c>
      <c r="AK95" s="83" t="str">
        <f>HYPERLINK("https://yt3.ggpht.com/ytc/AOPolaTdz7d7DkFMedFBhj7Mqq3TD9ivMWW44Q3IfQ=s88-c-k-c0x00ffffff-no-rj")</f>
        <v>https://yt3.ggpht.com/ytc/AOPolaTdz7d7DkFMedFBhj7Mqq3TD9ivMWW44Q3IfQ=s88-c-k-c0x00ffffff-no-rj</v>
      </c>
      <c r="AL95" s="81">
        <v>0</v>
      </c>
      <c r="AM95" s="81">
        <v>0</v>
      </c>
      <c r="AN95" s="81">
        <v>0</v>
      </c>
      <c r="AO95" s="81" t="b">
        <v>0</v>
      </c>
      <c r="AP95" s="81">
        <v>0</v>
      </c>
      <c r="AQ95" s="81"/>
      <c r="AR95" s="81"/>
      <c r="AS95" s="81" t="s">
        <v>1057</v>
      </c>
      <c r="AT95" s="83" t="str">
        <f>HYPERLINK("https://www.youtube.com/channel/UCrau40237Ed_blgZOlQkjpg")</f>
        <v>https://www.youtube.com/channel/UCrau40237Ed_blgZOlQkjpg</v>
      </c>
      <c r="AU95" s="81">
        <v>1</v>
      </c>
      <c r="AV95" s="49">
        <v>5</v>
      </c>
      <c r="AW95" s="50">
        <v>8.928571428571429</v>
      </c>
      <c r="AX95" s="49">
        <v>0</v>
      </c>
      <c r="AY95" s="50">
        <v>0</v>
      </c>
      <c r="AZ95" s="49">
        <v>0</v>
      </c>
      <c r="BA95" s="50">
        <v>0</v>
      </c>
      <c r="BB95" s="49">
        <v>16</v>
      </c>
      <c r="BC95" s="50">
        <v>28.571428571428573</v>
      </c>
      <c r="BD95" s="49">
        <v>56</v>
      </c>
      <c r="BE95" s="49"/>
      <c r="BF95" s="49"/>
      <c r="BG95" s="49"/>
      <c r="BH95" s="49"/>
      <c r="BI95" s="49"/>
      <c r="BJ95" s="49"/>
      <c r="BK95" s="115" t="s">
        <v>1137</v>
      </c>
      <c r="BL95" s="115" t="s">
        <v>1137</v>
      </c>
      <c r="BM95" s="115" t="s">
        <v>1264</v>
      </c>
      <c r="BN95" s="115" t="s">
        <v>1264</v>
      </c>
      <c r="BO95" s="2"/>
      <c r="BP95" s="3"/>
      <c r="BQ95" s="3"/>
      <c r="BR95" s="3"/>
      <c r="BS95" s="3"/>
    </row>
    <row r="96" spans="1:71" ht="15">
      <c r="A96" s="66" t="s">
        <v>314</v>
      </c>
      <c r="B96" s="67"/>
      <c r="C96" s="67"/>
      <c r="D96" s="68">
        <v>150</v>
      </c>
      <c r="E96" s="70"/>
      <c r="F96" s="103" t="str">
        <f>HYPERLINK("https://yt3.ggpht.com/ytc/AOPolaQ2cp9w3q5UdhNDB8Laaf_v0K5cfglx5PD2dYsbPQ=s88-c-k-c0x00ffffff-no-rj")</f>
        <v>https://yt3.ggpht.com/ytc/AOPolaQ2cp9w3q5UdhNDB8Laaf_v0K5cfglx5PD2dYsbPQ=s88-c-k-c0x00ffffff-no-rj</v>
      </c>
      <c r="G96" s="67"/>
      <c r="H96" s="71" t="s">
        <v>631</v>
      </c>
      <c r="I96" s="72"/>
      <c r="J96" s="72" t="s">
        <v>159</v>
      </c>
      <c r="K96" s="71" t="s">
        <v>631</v>
      </c>
      <c r="L96" s="75">
        <v>1</v>
      </c>
      <c r="M96" s="76">
        <v>2189.038330078125</v>
      </c>
      <c r="N96" s="76">
        <v>2275.8671875</v>
      </c>
      <c r="O96" s="77"/>
      <c r="P96" s="78"/>
      <c r="Q96" s="78"/>
      <c r="R96" s="89"/>
      <c r="S96" s="49">
        <v>0</v>
      </c>
      <c r="T96" s="49">
        <v>1</v>
      </c>
      <c r="U96" s="50">
        <v>0</v>
      </c>
      <c r="V96" s="50">
        <v>0.256952</v>
      </c>
      <c r="W96" s="50">
        <v>0.071778</v>
      </c>
      <c r="X96" s="50">
        <v>0.004811</v>
      </c>
      <c r="Y96" s="50">
        <v>0</v>
      </c>
      <c r="Z96" s="50">
        <v>0</v>
      </c>
      <c r="AA96" s="73">
        <v>96</v>
      </c>
      <c r="AB96" s="73"/>
      <c r="AC96" s="74"/>
      <c r="AD96" s="81" t="s">
        <v>631</v>
      </c>
      <c r="AE96" s="81"/>
      <c r="AF96" s="81"/>
      <c r="AG96" s="81"/>
      <c r="AH96" s="81"/>
      <c r="AI96" s="81" t="s">
        <v>968</v>
      </c>
      <c r="AJ96" s="85">
        <v>42855.91200231481</v>
      </c>
      <c r="AK96" s="83" t="str">
        <f>HYPERLINK("https://yt3.ggpht.com/ytc/AOPolaQ2cp9w3q5UdhNDB8Laaf_v0K5cfglx5PD2dYsbPQ=s88-c-k-c0x00ffffff-no-rj")</f>
        <v>https://yt3.ggpht.com/ytc/AOPolaQ2cp9w3q5UdhNDB8Laaf_v0K5cfglx5PD2dYsbPQ=s88-c-k-c0x00ffffff-no-rj</v>
      </c>
      <c r="AL96" s="81">
        <v>115</v>
      </c>
      <c r="AM96" s="81">
        <v>0</v>
      </c>
      <c r="AN96" s="81">
        <v>4</v>
      </c>
      <c r="AO96" s="81" t="b">
        <v>0</v>
      </c>
      <c r="AP96" s="81">
        <v>1</v>
      </c>
      <c r="AQ96" s="81"/>
      <c r="AR96" s="81"/>
      <c r="AS96" s="81" t="s">
        <v>1057</v>
      </c>
      <c r="AT96" s="83" t="str">
        <f>HYPERLINK("https://www.youtube.com/channel/UCHZtSCW3ghRV7JG_hl-DnMQ")</f>
        <v>https://www.youtube.com/channel/UCHZtSCW3ghRV7JG_hl-DnMQ</v>
      </c>
      <c r="AU96" s="81">
        <v>1</v>
      </c>
      <c r="AV96" s="49">
        <v>0</v>
      </c>
      <c r="AW96" s="50">
        <v>0</v>
      </c>
      <c r="AX96" s="49">
        <v>2</v>
      </c>
      <c r="AY96" s="50">
        <v>6.451612903225806</v>
      </c>
      <c r="AZ96" s="49">
        <v>0</v>
      </c>
      <c r="BA96" s="50">
        <v>0</v>
      </c>
      <c r="BB96" s="49">
        <v>8</v>
      </c>
      <c r="BC96" s="50">
        <v>25.806451612903224</v>
      </c>
      <c r="BD96" s="49">
        <v>31</v>
      </c>
      <c r="BE96" s="49"/>
      <c r="BF96" s="49"/>
      <c r="BG96" s="49"/>
      <c r="BH96" s="49"/>
      <c r="BI96" s="49"/>
      <c r="BJ96" s="49"/>
      <c r="BK96" s="115" t="s">
        <v>1138</v>
      </c>
      <c r="BL96" s="115" t="s">
        <v>1138</v>
      </c>
      <c r="BM96" s="115" t="s">
        <v>1265</v>
      </c>
      <c r="BN96" s="115" t="s">
        <v>1265</v>
      </c>
      <c r="BO96" s="2"/>
      <c r="BP96" s="3"/>
      <c r="BQ96" s="3"/>
      <c r="BR96" s="3"/>
      <c r="BS96" s="3"/>
    </row>
    <row r="97" spans="1:71" ht="15">
      <c r="A97" s="66" t="s">
        <v>315</v>
      </c>
      <c r="B97" s="67"/>
      <c r="C97" s="67"/>
      <c r="D97" s="68">
        <v>150</v>
      </c>
      <c r="E97" s="70"/>
      <c r="F97" s="103" t="str">
        <f>HYPERLINK("https://yt3.ggpht.com/ytc/AOPolaQa5kzfttKQn-LuR1VjjWqZKqncnmJMgXh31yku4A=s88-c-k-c0x00ffffff-no-rj")</f>
        <v>https://yt3.ggpht.com/ytc/AOPolaQa5kzfttKQn-LuR1VjjWqZKqncnmJMgXh31yku4A=s88-c-k-c0x00ffffff-no-rj</v>
      </c>
      <c r="G97" s="67"/>
      <c r="H97" s="71" t="s">
        <v>632</v>
      </c>
      <c r="I97" s="72"/>
      <c r="J97" s="72" t="s">
        <v>159</v>
      </c>
      <c r="K97" s="71" t="s">
        <v>632</v>
      </c>
      <c r="L97" s="75">
        <v>1</v>
      </c>
      <c r="M97" s="76">
        <v>3029.00341796875</v>
      </c>
      <c r="N97" s="76">
        <v>3503.672607421875</v>
      </c>
      <c r="O97" s="77"/>
      <c r="P97" s="78"/>
      <c r="Q97" s="78"/>
      <c r="R97" s="89"/>
      <c r="S97" s="49">
        <v>0</v>
      </c>
      <c r="T97" s="49">
        <v>1</v>
      </c>
      <c r="U97" s="50">
        <v>0</v>
      </c>
      <c r="V97" s="50">
        <v>0.256952</v>
      </c>
      <c r="W97" s="50">
        <v>0.071778</v>
      </c>
      <c r="X97" s="50">
        <v>0.004811</v>
      </c>
      <c r="Y97" s="50">
        <v>0</v>
      </c>
      <c r="Z97" s="50">
        <v>0</v>
      </c>
      <c r="AA97" s="73">
        <v>97</v>
      </c>
      <c r="AB97" s="73"/>
      <c r="AC97" s="74"/>
      <c r="AD97" s="81" t="s">
        <v>632</v>
      </c>
      <c r="AE97" s="81"/>
      <c r="AF97" s="81"/>
      <c r="AG97" s="81"/>
      <c r="AH97" s="81"/>
      <c r="AI97" s="81" t="s">
        <v>969</v>
      </c>
      <c r="AJ97" s="85">
        <v>42209.55082175926</v>
      </c>
      <c r="AK97" s="83" t="str">
        <f>HYPERLINK("https://yt3.ggpht.com/ytc/AOPolaQa5kzfttKQn-LuR1VjjWqZKqncnmJMgXh31yku4A=s88-c-k-c0x00ffffff-no-rj")</f>
        <v>https://yt3.ggpht.com/ytc/AOPolaQa5kzfttKQn-LuR1VjjWqZKqncnmJMgXh31yku4A=s88-c-k-c0x00ffffff-no-rj</v>
      </c>
      <c r="AL97" s="81">
        <v>0</v>
      </c>
      <c r="AM97" s="81">
        <v>0</v>
      </c>
      <c r="AN97" s="81">
        <v>3</v>
      </c>
      <c r="AO97" s="81" t="b">
        <v>0</v>
      </c>
      <c r="AP97" s="81">
        <v>0</v>
      </c>
      <c r="AQ97" s="81"/>
      <c r="AR97" s="81"/>
      <c r="AS97" s="81" t="s">
        <v>1057</v>
      </c>
      <c r="AT97" s="83" t="str">
        <f>HYPERLINK("https://www.youtube.com/channel/UCbuBW2iv0g8nZ0DTdxIlhFA")</f>
        <v>https://www.youtube.com/channel/UCbuBW2iv0g8nZ0DTdxIlhFA</v>
      </c>
      <c r="AU97" s="81">
        <v>1</v>
      </c>
      <c r="AV97" s="49">
        <v>1</v>
      </c>
      <c r="AW97" s="50">
        <v>14.285714285714286</v>
      </c>
      <c r="AX97" s="49">
        <v>0</v>
      </c>
      <c r="AY97" s="50">
        <v>0</v>
      </c>
      <c r="AZ97" s="49">
        <v>0</v>
      </c>
      <c r="BA97" s="50">
        <v>0</v>
      </c>
      <c r="BB97" s="49">
        <v>2</v>
      </c>
      <c r="BC97" s="50">
        <v>28.571428571428573</v>
      </c>
      <c r="BD97" s="49">
        <v>7</v>
      </c>
      <c r="BE97" s="49"/>
      <c r="BF97" s="49"/>
      <c r="BG97" s="49"/>
      <c r="BH97" s="49"/>
      <c r="BI97" s="49"/>
      <c r="BJ97" s="49"/>
      <c r="BK97" s="115" t="s">
        <v>1139</v>
      </c>
      <c r="BL97" s="115" t="s">
        <v>1139</v>
      </c>
      <c r="BM97" s="115" t="s">
        <v>1266</v>
      </c>
      <c r="BN97" s="115" t="s">
        <v>1266</v>
      </c>
      <c r="BO97" s="2"/>
      <c r="BP97" s="3"/>
      <c r="BQ97" s="3"/>
      <c r="BR97" s="3"/>
      <c r="BS97" s="3"/>
    </row>
    <row r="98" spans="1:71" ht="15">
      <c r="A98" s="66" t="s">
        <v>316</v>
      </c>
      <c r="B98" s="67"/>
      <c r="C98" s="67"/>
      <c r="D98" s="68">
        <v>150</v>
      </c>
      <c r="E98" s="70"/>
      <c r="F98" s="103" t="str">
        <f>HYPERLINK("https://yt3.ggpht.com/OJieLeWlDPPnOeuXBm8RlqKONamlT9rd6-WSrDPllXyH_PbjxF5sqb5RhUQZfP08iWGfNNZIOQ=s88-c-k-c0x00ffffff-no-rj")</f>
        <v>https://yt3.ggpht.com/OJieLeWlDPPnOeuXBm8RlqKONamlT9rd6-WSrDPllXyH_PbjxF5sqb5RhUQZfP08iWGfNNZIOQ=s88-c-k-c0x00ffffff-no-rj</v>
      </c>
      <c r="G98" s="67"/>
      <c r="H98" s="71" t="s">
        <v>633</v>
      </c>
      <c r="I98" s="72"/>
      <c r="J98" s="72" t="s">
        <v>159</v>
      </c>
      <c r="K98" s="71" t="s">
        <v>633</v>
      </c>
      <c r="L98" s="75">
        <v>1</v>
      </c>
      <c r="M98" s="76">
        <v>2465.763916015625</v>
      </c>
      <c r="N98" s="76">
        <v>1099.177978515625</v>
      </c>
      <c r="O98" s="77"/>
      <c r="P98" s="78"/>
      <c r="Q98" s="78"/>
      <c r="R98" s="89"/>
      <c r="S98" s="49">
        <v>0</v>
      </c>
      <c r="T98" s="49">
        <v>1</v>
      </c>
      <c r="U98" s="50">
        <v>0</v>
      </c>
      <c r="V98" s="50">
        <v>0.256952</v>
      </c>
      <c r="W98" s="50">
        <v>0.071778</v>
      </c>
      <c r="X98" s="50">
        <v>0.004811</v>
      </c>
      <c r="Y98" s="50">
        <v>0</v>
      </c>
      <c r="Z98" s="50">
        <v>0</v>
      </c>
      <c r="AA98" s="73">
        <v>98</v>
      </c>
      <c r="AB98" s="73"/>
      <c r="AC98" s="74"/>
      <c r="AD98" s="81" t="s">
        <v>633</v>
      </c>
      <c r="AE98" s="81" t="s">
        <v>836</v>
      </c>
      <c r="AF98" s="81"/>
      <c r="AG98" s="81"/>
      <c r="AH98" s="81"/>
      <c r="AI98" s="81" t="s">
        <v>970</v>
      </c>
      <c r="AJ98" s="85">
        <v>42653.0281712963</v>
      </c>
      <c r="AK98" s="83" t="str">
        <f>HYPERLINK("https://yt3.ggpht.com/OJieLeWlDPPnOeuXBm8RlqKONamlT9rd6-WSrDPllXyH_PbjxF5sqb5RhUQZfP08iWGfNNZIOQ=s88-c-k-c0x00ffffff-no-rj")</f>
        <v>https://yt3.ggpht.com/OJieLeWlDPPnOeuXBm8RlqKONamlT9rd6-WSrDPllXyH_PbjxF5sqb5RhUQZfP08iWGfNNZIOQ=s88-c-k-c0x00ffffff-no-rj</v>
      </c>
      <c r="AL98" s="81">
        <v>239</v>
      </c>
      <c r="AM98" s="81">
        <v>0</v>
      </c>
      <c r="AN98" s="81">
        <v>6</v>
      </c>
      <c r="AO98" s="81" t="b">
        <v>0</v>
      </c>
      <c r="AP98" s="81">
        <v>4</v>
      </c>
      <c r="AQ98" s="81"/>
      <c r="AR98" s="81"/>
      <c r="AS98" s="81" t="s">
        <v>1057</v>
      </c>
      <c r="AT98" s="83" t="str">
        <f>HYPERLINK("https://www.youtube.com/channel/UCY130g5fSy_oh0AxxbgKe4g")</f>
        <v>https://www.youtube.com/channel/UCY130g5fSy_oh0AxxbgKe4g</v>
      </c>
      <c r="AU98" s="81">
        <v>1</v>
      </c>
      <c r="AV98" s="49">
        <v>1</v>
      </c>
      <c r="AW98" s="50">
        <v>3.7037037037037037</v>
      </c>
      <c r="AX98" s="49">
        <v>0</v>
      </c>
      <c r="AY98" s="50">
        <v>0</v>
      </c>
      <c r="AZ98" s="49">
        <v>0</v>
      </c>
      <c r="BA98" s="50">
        <v>0</v>
      </c>
      <c r="BB98" s="49">
        <v>11</v>
      </c>
      <c r="BC98" s="50">
        <v>40.74074074074074</v>
      </c>
      <c r="BD98" s="49">
        <v>27</v>
      </c>
      <c r="BE98" s="49"/>
      <c r="BF98" s="49"/>
      <c r="BG98" s="49"/>
      <c r="BH98" s="49"/>
      <c r="BI98" s="49"/>
      <c r="BJ98" s="49"/>
      <c r="BK98" s="115" t="s">
        <v>1140</v>
      </c>
      <c r="BL98" s="115" t="s">
        <v>1140</v>
      </c>
      <c r="BM98" s="115" t="s">
        <v>1267</v>
      </c>
      <c r="BN98" s="115" t="s">
        <v>1267</v>
      </c>
      <c r="BO98" s="2"/>
      <c r="BP98" s="3"/>
      <c r="BQ98" s="3"/>
      <c r="BR98" s="3"/>
      <c r="BS98" s="3"/>
    </row>
    <row r="99" spans="1:71" ht="15">
      <c r="A99" s="66" t="s">
        <v>317</v>
      </c>
      <c r="B99" s="67"/>
      <c r="C99" s="67"/>
      <c r="D99" s="68">
        <v>150</v>
      </c>
      <c r="E99" s="70"/>
      <c r="F99" s="103" t="str">
        <f>HYPERLINK("https://yt3.ggpht.com/ytc/AOPolaT_N9hNniL7Gtmk6O08hfFQuKkGNwSDg4Q2BJ5RSw=s88-c-k-c0x00ffffff-no-rj")</f>
        <v>https://yt3.ggpht.com/ytc/AOPolaT_N9hNniL7Gtmk6O08hfFQuKkGNwSDg4Q2BJ5RSw=s88-c-k-c0x00ffffff-no-rj</v>
      </c>
      <c r="G99" s="67"/>
      <c r="H99" s="71" t="s">
        <v>634</v>
      </c>
      <c r="I99" s="72"/>
      <c r="J99" s="72" t="s">
        <v>159</v>
      </c>
      <c r="K99" s="71" t="s">
        <v>634</v>
      </c>
      <c r="L99" s="75">
        <v>1</v>
      </c>
      <c r="M99" s="76">
        <v>3785.63623046875</v>
      </c>
      <c r="N99" s="76">
        <v>7034.39208984375</v>
      </c>
      <c r="O99" s="77"/>
      <c r="P99" s="78"/>
      <c r="Q99" s="78"/>
      <c r="R99" s="89"/>
      <c r="S99" s="49">
        <v>0</v>
      </c>
      <c r="T99" s="49">
        <v>1</v>
      </c>
      <c r="U99" s="50">
        <v>0</v>
      </c>
      <c r="V99" s="50">
        <v>0.256952</v>
      </c>
      <c r="W99" s="50">
        <v>0.071778</v>
      </c>
      <c r="X99" s="50">
        <v>0.004811</v>
      </c>
      <c r="Y99" s="50">
        <v>0</v>
      </c>
      <c r="Z99" s="50">
        <v>0</v>
      </c>
      <c r="AA99" s="73">
        <v>99</v>
      </c>
      <c r="AB99" s="73"/>
      <c r="AC99" s="74"/>
      <c r="AD99" s="81" t="s">
        <v>634</v>
      </c>
      <c r="AE99" s="81"/>
      <c r="AF99" s="81"/>
      <c r="AG99" s="81"/>
      <c r="AH99" s="81"/>
      <c r="AI99" s="81" t="s">
        <v>971</v>
      </c>
      <c r="AJ99" s="85">
        <v>41060.91746527778</v>
      </c>
      <c r="AK99" s="83" t="str">
        <f>HYPERLINK("https://yt3.ggpht.com/ytc/AOPolaT_N9hNniL7Gtmk6O08hfFQuKkGNwSDg4Q2BJ5RSw=s88-c-k-c0x00ffffff-no-rj")</f>
        <v>https://yt3.ggpht.com/ytc/AOPolaT_N9hNniL7Gtmk6O08hfFQuKkGNwSDg4Q2BJ5RSw=s88-c-k-c0x00ffffff-no-rj</v>
      </c>
      <c r="AL99" s="81">
        <v>26</v>
      </c>
      <c r="AM99" s="81">
        <v>0</v>
      </c>
      <c r="AN99" s="81">
        <v>1</v>
      </c>
      <c r="AO99" s="81" t="b">
        <v>0</v>
      </c>
      <c r="AP99" s="81">
        <v>1</v>
      </c>
      <c r="AQ99" s="81"/>
      <c r="AR99" s="81"/>
      <c r="AS99" s="81" t="s">
        <v>1057</v>
      </c>
      <c r="AT99" s="83" t="str">
        <f>HYPERLINK("https://www.youtube.com/channel/UCfhJXlUiGqG-J4ERYY5cGTg")</f>
        <v>https://www.youtube.com/channel/UCfhJXlUiGqG-J4ERYY5cGTg</v>
      </c>
      <c r="AU99" s="81">
        <v>1</v>
      </c>
      <c r="AV99" s="49">
        <v>2</v>
      </c>
      <c r="AW99" s="50">
        <v>28.571428571428573</v>
      </c>
      <c r="AX99" s="49">
        <v>0</v>
      </c>
      <c r="AY99" s="50">
        <v>0</v>
      </c>
      <c r="AZ99" s="49">
        <v>0</v>
      </c>
      <c r="BA99" s="50">
        <v>0</v>
      </c>
      <c r="BB99" s="49">
        <v>4</v>
      </c>
      <c r="BC99" s="50">
        <v>57.142857142857146</v>
      </c>
      <c r="BD99" s="49">
        <v>7</v>
      </c>
      <c r="BE99" s="49"/>
      <c r="BF99" s="49"/>
      <c r="BG99" s="49"/>
      <c r="BH99" s="49"/>
      <c r="BI99" s="49"/>
      <c r="BJ99" s="49"/>
      <c r="BK99" s="115" t="s">
        <v>1141</v>
      </c>
      <c r="BL99" s="115" t="s">
        <v>1141</v>
      </c>
      <c r="BM99" s="115" t="s">
        <v>1268</v>
      </c>
      <c r="BN99" s="115" t="s">
        <v>1268</v>
      </c>
      <c r="BO99" s="2"/>
      <c r="BP99" s="3"/>
      <c r="BQ99" s="3"/>
      <c r="BR99" s="3"/>
      <c r="BS99" s="3"/>
    </row>
    <row r="100" spans="1:71" ht="15">
      <c r="A100" s="66" t="s">
        <v>318</v>
      </c>
      <c r="B100" s="67"/>
      <c r="C100" s="67"/>
      <c r="D100" s="68">
        <v>150</v>
      </c>
      <c r="E100" s="70"/>
      <c r="F100" s="103" t="str">
        <f>HYPERLINK("https://yt3.ggpht.com/ytc/AOPolaRFOUWXUj4sFoEvi8vq2oz91NjEYGuR9WPvvg=s88-c-k-c0x00ffffff-no-rj")</f>
        <v>https://yt3.ggpht.com/ytc/AOPolaRFOUWXUj4sFoEvi8vq2oz91NjEYGuR9WPvvg=s88-c-k-c0x00ffffff-no-rj</v>
      </c>
      <c r="G100" s="67"/>
      <c r="H100" s="71" t="s">
        <v>635</v>
      </c>
      <c r="I100" s="72"/>
      <c r="J100" s="72" t="s">
        <v>159</v>
      </c>
      <c r="K100" s="71" t="s">
        <v>635</v>
      </c>
      <c r="L100" s="75">
        <v>1</v>
      </c>
      <c r="M100" s="76">
        <v>1663.0426025390625</v>
      </c>
      <c r="N100" s="76">
        <v>7551.88916015625</v>
      </c>
      <c r="O100" s="77"/>
      <c r="P100" s="78"/>
      <c r="Q100" s="78"/>
      <c r="R100" s="89"/>
      <c r="S100" s="49">
        <v>0</v>
      </c>
      <c r="T100" s="49">
        <v>1</v>
      </c>
      <c r="U100" s="50">
        <v>0</v>
      </c>
      <c r="V100" s="50">
        <v>0.256952</v>
      </c>
      <c r="W100" s="50">
        <v>0.071778</v>
      </c>
      <c r="X100" s="50">
        <v>0.004811</v>
      </c>
      <c r="Y100" s="50">
        <v>0</v>
      </c>
      <c r="Z100" s="50">
        <v>0</v>
      </c>
      <c r="AA100" s="73">
        <v>100</v>
      </c>
      <c r="AB100" s="73"/>
      <c r="AC100" s="74"/>
      <c r="AD100" s="81" t="s">
        <v>635</v>
      </c>
      <c r="AE100" s="81"/>
      <c r="AF100" s="81"/>
      <c r="AG100" s="81"/>
      <c r="AH100" s="81"/>
      <c r="AI100" s="81" t="s">
        <v>972</v>
      </c>
      <c r="AJ100" s="85">
        <v>43256.291875</v>
      </c>
      <c r="AK100" s="83" t="str">
        <f>HYPERLINK("https://yt3.ggpht.com/ytc/AOPolaRFOUWXUj4sFoEvi8vq2oz91NjEYGuR9WPvvg=s88-c-k-c0x00ffffff-no-rj")</f>
        <v>https://yt3.ggpht.com/ytc/AOPolaRFOUWXUj4sFoEvi8vq2oz91NjEYGuR9WPvvg=s88-c-k-c0x00ffffff-no-rj</v>
      </c>
      <c r="AL100" s="81">
        <v>0</v>
      </c>
      <c r="AM100" s="81">
        <v>0</v>
      </c>
      <c r="AN100" s="81">
        <v>0</v>
      </c>
      <c r="AO100" s="81" t="b">
        <v>0</v>
      </c>
      <c r="AP100" s="81">
        <v>0</v>
      </c>
      <c r="AQ100" s="81"/>
      <c r="AR100" s="81"/>
      <c r="AS100" s="81" t="s">
        <v>1057</v>
      </c>
      <c r="AT100" s="83" t="str">
        <f>HYPERLINK("https://www.youtube.com/channel/UCqOD5SDKQOk3gzU_qWyUPrw")</f>
        <v>https://www.youtube.com/channel/UCqOD5SDKQOk3gzU_qWyUPrw</v>
      </c>
      <c r="AU100" s="81">
        <v>1</v>
      </c>
      <c r="AV100" s="49">
        <v>1</v>
      </c>
      <c r="AW100" s="50">
        <v>16.666666666666668</v>
      </c>
      <c r="AX100" s="49">
        <v>0</v>
      </c>
      <c r="AY100" s="50">
        <v>0</v>
      </c>
      <c r="AZ100" s="49">
        <v>0</v>
      </c>
      <c r="BA100" s="50">
        <v>0</v>
      </c>
      <c r="BB100" s="49">
        <v>3</v>
      </c>
      <c r="BC100" s="50">
        <v>50</v>
      </c>
      <c r="BD100" s="49">
        <v>6</v>
      </c>
      <c r="BE100" s="49"/>
      <c r="BF100" s="49"/>
      <c r="BG100" s="49"/>
      <c r="BH100" s="49"/>
      <c r="BI100" s="49"/>
      <c r="BJ100" s="49"/>
      <c r="BK100" s="115" t="s">
        <v>1142</v>
      </c>
      <c r="BL100" s="115" t="s">
        <v>1142</v>
      </c>
      <c r="BM100" s="115" t="s">
        <v>1269</v>
      </c>
      <c r="BN100" s="115" t="s">
        <v>1269</v>
      </c>
      <c r="BO100" s="2"/>
      <c r="BP100" s="3"/>
      <c r="BQ100" s="3"/>
      <c r="BR100" s="3"/>
      <c r="BS100" s="3"/>
    </row>
    <row r="101" spans="1:71" ht="15">
      <c r="A101" s="66" t="s">
        <v>319</v>
      </c>
      <c r="B101" s="67"/>
      <c r="C101" s="67"/>
      <c r="D101" s="68">
        <v>150</v>
      </c>
      <c r="E101" s="70"/>
      <c r="F101" s="103" t="str">
        <f>HYPERLINK("https://yt3.ggpht.com/pnAtPXoVdl78USPQJ8fogHWUt2EEwHoM1hCmagkWN_S-0yVtavZ8fbOO_fm_vGAYWBZ0S6y4jA=s88-c-k-c0x00ffffff-no-rj")</f>
        <v>https://yt3.ggpht.com/pnAtPXoVdl78USPQJ8fogHWUt2EEwHoM1hCmagkWN_S-0yVtavZ8fbOO_fm_vGAYWBZ0S6y4jA=s88-c-k-c0x00ffffff-no-rj</v>
      </c>
      <c r="G101" s="67"/>
      <c r="H101" s="71" t="s">
        <v>636</v>
      </c>
      <c r="I101" s="72"/>
      <c r="J101" s="72" t="s">
        <v>159</v>
      </c>
      <c r="K101" s="71" t="s">
        <v>636</v>
      </c>
      <c r="L101" s="75">
        <v>1</v>
      </c>
      <c r="M101" s="76">
        <v>3805.96533203125</v>
      </c>
      <c r="N101" s="76">
        <v>656.1868286132812</v>
      </c>
      <c r="O101" s="77"/>
      <c r="P101" s="78"/>
      <c r="Q101" s="78"/>
      <c r="R101" s="89"/>
      <c r="S101" s="49">
        <v>0</v>
      </c>
      <c r="T101" s="49">
        <v>1</v>
      </c>
      <c r="U101" s="50">
        <v>0</v>
      </c>
      <c r="V101" s="50">
        <v>0.256952</v>
      </c>
      <c r="W101" s="50">
        <v>0.071778</v>
      </c>
      <c r="X101" s="50">
        <v>0.004811</v>
      </c>
      <c r="Y101" s="50">
        <v>0</v>
      </c>
      <c r="Z101" s="50">
        <v>0</v>
      </c>
      <c r="AA101" s="73">
        <v>101</v>
      </c>
      <c r="AB101" s="73"/>
      <c r="AC101" s="74"/>
      <c r="AD101" s="81" t="s">
        <v>636</v>
      </c>
      <c r="AE101" s="81"/>
      <c r="AF101" s="81"/>
      <c r="AG101" s="81"/>
      <c r="AH101" s="81"/>
      <c r="AI101" s="81" t="s">
        <v>973</v>
      </c>
      <c r="AJ101" s="85">
        <v>40024.065787037034</v>
      </c>
      <c r="AK101" s="83" t="str">
        <f>HYPERLINK("https://yt3.ggpht.com/pnAtPXoVdl78USPQJ8fogHWUt2EEwHoM1hCmagkWN_S-0yVtavZ8fbOO_fm_vGAYWBZ0S6y4jA=s88-c-k-c0x00ffffff-no-rj")</f>
        <v>https://yt3.ggpht.com/pnAtPXoVdl78USPQJ8fogHWUt2EEwHoM1hCmagkWN_S-0yVtavZ8fbOO_fm_vGAYWBZ0S6y4jA=s88-c-k-c0x00ffffff-no-rj</v>
      </c>
      <c r="AL101" s="81">
        <v>0</v>
      </c>
      <c r="AM101" s="81">
        <v>0</v>
      </c>
      <c r="AN101" s="81">
        <v>23</v>
      </c>
      <c r="AO101" s="81" t="b">
        <v>0</v>
      </c>
      <c r="AP101" s="81">
        <v>0</v>
      </c>
      <c r="AQ101" s="81"/>
      <c r="AR101" s="81"/>
      <c r="AS101" s="81" t="s">
        <v>1057</v>
      </c>
      <c r="AT101" s="83" t="str">
        <f>HYPERLINK("https://www.youtube.com/channel/UCU6GIAzpLLQFzWCCqI_8SCQ")</f>
        <v>https://www.youtube.com/channel/UCU6GIAzpLLQFzWCCqI_8SCQ</v>
      </c>
      <c r="AU101" s="81">
        <v>1</v>
      </c>
      <c r="AV101" s="49">
        <v>3</v>
      </c>
      <c r="AW101" s="50">
        <v>20</v>
      </c>
      <c r="AX101" s="49">
        <v>0</v>
      </c>
      <c r="AY101" s="50">
        <v>0</v>
      </c>
      <c r="AZ101" s="49">
        <v>0</v>
      </c>
      <c r="BA101" s="50">
        <v>0</v>
      </c>
      <c r="BB101" s="49">
        <v>3</v>
      </c>
      <c r="BC101" s="50">
        <v>20</v>
      </c>
      <c r="BD101" s="49">
        <v>15</v>
      </c>
      <c r="BE101" s="49"/>
      <c r="BF101" s="49"/>
      <c r="BG101" s="49"/>
      <c r="BH101" s="49"/>
      <c r="BI101" s="49"/>
      <c r="BJ101" s="49"/>
      <c r="BK101" s="115" t="s">
        <v>1143</v>
      </c>
      <c r="BL101" s="115" t="s">
        <v>1143</v>
      </c>
      <c r="BM101" s="115" t="s">
        <v>1270</v>
      </c>
      <c r="BN101" s="115" t="s">
        <v>1270</v>
      </c>
      <c r="BO101" s="2"/>
      <c r="BP101" s="3"/>
      <c r="BQ101" s="3"/>
      <c r="BR101" s="3"/>
      <c r="BS101" s="3"/>
    </row>
    <row r="102" spans="1:71" ht="15">
      <c r="A102" s="66" t="s">
        <v>320</v>
      </c>
      <c r="B102" s="67"/>
      <c r="C102" s="67"/>
      <c r="D102" s="68">
        <v>150</v>
      </c>
      <c r="E102" s="70"/>
      <c r="F102" s="103" t="str">
        <f>HYPERLINK("https://yt3.ggpht.com/ytc/AOPolaSECE9RX1o4xes-vBwxgsks9N6-PJkDWwO0pt1r=s88-c-k-c0x00ffffff-no-rj")</f>
        <v>https://yt3.ggpht.com/ytc/AOPolaSECE9RX1o4xes-vBwxgsks9N6-PJkDWwO0pt1r=s88-c-k-c0x00ffffff-no-rj</v>
      </c>
      <c r="G102" s="67"/>
      <c r="H102" s="71" t="s">
        <v>637</v>
      </c>
      <c r="I102" s="72"/>
      <c r="J102" s="72" t="s">
        <v>159</v>
      </c>
      <c r="K102" s="71" t="s">
        <v>637</v>
      </c>
      <c r="L102" s="75">
        <v>1</v>
      </c>
      <c r="M102" s="76">
        <v>4512.783203125</v>
      </c>
      <c r="N102" s="76">
        <v>3479.183837890625</v>
      </c>
      <c r="O102" s="77"/>
      <c r="P102" s="78"/>
      <c r="Q102" s="78"/>
      <c r="R102" s="89"/>
      <c r="S102" s="49">
        <v>0</v>
      </c>
      <c r="T102" s="49">
        <v>1</v>
      </c>
      <c r="U102" s="50">
        <v>0</v>
      </c>
      <c r="V102" s="50">
        <v>0.256952</v>
      </c>
      <c r="W102" s="50">
        <v>0.071778</v>
      </c>
      <c r="X102" s="50">
        <v>0.004811</v>
      </c>
      <c r="Y102" s="50">
        <v>0</v>
      </c>
      <c r="Z102" s="50">
        <v>0</v>
      </c>
      <c r="AA102" s="73">
        <v>102</v>
      </c>
      <c r="AB102" s="73"/>
      <c r="AC102" s="74"/>
      <c r="AD102" s="81" t="s">
        <v>637</v>
      </c>
      <c r="AE102" s="81" t="s">
        <v>837</v>
      </c>
      <c r="AF102" s="81"/>
      <c r="AG102" s="81"/>
      <c r="AH102" s="81"/>
      <c r="AI102" s="81" t="s">
        <v>974</v>
      </c>
      <c r="AJ102" s="85">
        <v>40009.378657407404</v>
      </c>
      <c r="AK102" s="83" t="str">
        <f>HYPERLINK("https://yt3.ggpht.com/ytc/AOPolaSECE9RX1o4xes-vBwxgsks9N6-PJkDWwO0pt1r=s88-c-k-c0x00ffffff-no-rj")</f>
        <v>https://yt3.ggpht.com/ytc/AOPolaSECE9RX1o4xes-vBwxgsks9N6-PJkDWwO0pt1r=s88-c-k-c0x00ffffff-no-rj</v>
      </c>
      <c r="AL102" s="81">
        <v>1443</v>
      </c>
      <c r="AM102" s="81">
        <v>0</v>
      </c>
      <c r="AN102" s="81">
        <v>12</v>
      </c>
      <c r="AO102" s="81" t="b">
        <v>0</v>
      </c>
      <c r="AP102" s="81">
        <v>6</v>
      </c>
      <c r="AQ102" s="81"/>
      <c r="AR102" s="81"/>
      <c r="AS102" s="81" t="s">
        <v>1057</v>
      </c>
      <c r="AT102" s="83" t="str">
        <f>HYPERLINK("https://www.youtube.com/channel/UCcW_9GEcSNRGLlnojavzWsQ")</f>
        <v>https://www.youtube.com/channel/UCcW_9GEcSNRGLlnojavzWsQ</v>
      </c>
      <c r="AU102" s="81">
        <v>1</v>
      </c>
      <c r="AV102" s="49">
        <v>4</v>
      </c>
      <c r="AW102" s="50">
        <v>14.285714285714286</v>
      </c>
      <c r="AX102" s="49">
        <v>0</v>
      </c>
      <c r="AY102" s="50">
        <v>0</v>
      </c>
      <c r="AZ102" s="49">
        <v>0</v>
      </c>
      <c r="BA102" s="50">
        <v>0</v>
      </c>
      <c r="BB102" s="49">
        <v>9</v>
      </c>
      <c r="BC102" s="50">
        <v>32.142857142857146</v>
      </c>
      <c r="BD102" s="49">
        <v>28</v>
      </c>
      <c r="BE102" s="49"/>
      <c r="BF102" s="49"/>
      <c r="BG102" s="49"/>
      <c r="BH102" s="49"/>
      <c r="BI102" s="49"/>
      <c r="BJ102" s="49"/>
      <c r="BK102" s="115" t="s">
        <v>1144</v>
      </c>
      <c r="BL102" s="115" t="s">
        <v>1144</v>
      </c>
      <c r="BM102" s="115" t="s">
        <v>1271</v>
      </c>
      <c r="BN102" s="115" t="s">
        <v>1271</v>
      </c>
      <c r="BO102" s="2"/>
      <c r="BP102" s="3"/>
      <c r="BQ102" s="3"/>
      <c r="BR102" s="3"/>
      <c r="BS102" s="3"/>
    </row>
    <row r="103" spans="1:71" ht="15">
      <c r="A103" s="66" t="s">
        <v>321</v>
      </c>
      <c r="B103" s="67"/>
      <c r="C103" s="67"/>
      <c r="D103" s="68">
        <v>150</v>
      </c>
      <c r="E103" s="70"/>
      <c r="F103" s="103" t="str">
        <f>HYPERLINK("https://yt3.ggpht.com/ytc/AOPolaRWic0AuShjcuaVNTQDbyNBJpKy6goOEIIuwcsRwA=s88-c-k-c0x00ffffff-no-rj")</f>
        <v>https://yt3.ggpht.com/ytc/AOPolaRWic0AuShjcuaVNTQDbyNBJpKy6goOEIIuwcsRwA=s88-c-k-c0x00ffffff-no-rj</v>
      </c>
      <c r="G103" s="67"/>
      <c r="H103" s="71" t="s">
        <v>638</v>
      </c>
      <c r="I103" s="72"/>
      <c r="J103" s="72" t="s">
        <v>159</v>
      </c>
      <c r="K103" s="71" t="s">
        <v>638</v>
      </c>
      <c r="L103" s="75">
        <v>1</v>
      </c>
      <c r="M103" s="76">
        <v>5084.4169921875</v>
      </c>
      <c r="N103" s="76">
        <v>5482.3203125</v>
      </c>
      <c r="O103" s="77"/>
      <c r="P103" s="78"/>
      <c r="Q103" s="78"/>
      <c r="R103" s="89"/>
      <c r="S103" s="49">
        <v>0</v>
      </c>
      <c r="T103" s="49">
        <v>1</v>
      </c>
      <c r="U103" s="50">
        <v>0</v>
      </c>
      <c r="V103" s="50">
        <v>0.256952</v>
      </c>
      <c r="W103" s="50">
        <v>0.071778</v>
      </c>
      <c r="X103" s="50">
        <v>0.004811</v>
      </c>
      <c r="Y103" s="50">
        <v>0</v>
      </c>
      <c r="Z103" s="50">
        <v>0</v>
      </c>
      <c r="AA103" s="73">
        <v>103</v>
      </c>
      <c r="AB103" s="73"/>
      <c r="AC103" s="74"/>
      <c r="AD103" s="81" t="s">
        <v>638</v>
      </c>
      <c r="AE103" s="81"/>
      <c r="AF103" s="81"/>
      <c r="AG103" s="81"/>
      <c r="AH103" s="81"/>
      <c r="AI103" s="81" t="s">
        <v>975</v>
      </c>
      <c r="AJ103" s="85">
        <v>41311.69708333333</v>
      </c>
      <c r="AK103" s="83" t="str">
        <f>HYPERLINK("https://yt3.ggpht.com/ytc/AOPolaRWic0AuShjcuaVNTQDbyNBJpKy6goOEIIuwcsRwA=s88-c-k-c0x00ffffff-no-rj")</f>
        <v>https://yt3.ggpht.com/ytc/AOPolaRWic0AuShjcuaVNTQDbyNBJpKy6goOEIIuwcsRwA=s88-c-k-c0x00ffffff-no-rj</v>
      </c>
      <c r="AL103" s="81">
        <v>0</v>
      </c>
      <c r="AM103" s="81">
        <v>0</v>
      </c>
      <c r="AN103" s="81">
        <v>1</v>
      </c>
      <c r="AO103" s="81" t="b">
        <v>0</v>
      </c>
      <c r="AP103" s="81">
        <v>0</v>
      </c>
      <c r="AQ103" s="81"/>
      <c r="AR103" s="81"/>
      <c r="AS103" s="81" t="s">
        <v>1057</v>
      </c>
      <c r="AT103" s="83" t="str">
        <f>HYPERLINK("https://www.youtube.com/channel/UCEjyeDvIkZ9gvyLeHNZerUw")</f>
        <v>https://www.youtube.com/channel/UCEjyeDvIkZ9gvyLeHNZerUw</v>
      </c>
      <c r="AU103" s="81">
        <v>1</v>
      </c>
      <c r="AV103" s="49">
        <v>2</v>
      </c>
      <c r="AW103" s="50">
        <v>7.142857142857143</v>
      </c>
      <c r="AX103" s="49">
        <v>0</v>
      </c>
      <c r="AY103" s="50">
        <v>0</v>
      </c>
      <c r="AZ103" s="49">
        <v>0</v>
      </c>
      <c r="BA103" s="50">
        <v>0</v>
      </c>
      <c r="BB103" s="49">
        <v>5</v>
      </c>
      <c r="BC103" s="50">
        <v>17.857142857142858</v>
      </c>
      <c r="BD103" s="49">
        <v>28</v>
      </c>
      <c r="BE103" s="49"/>
      <c r="BF103" s="49"/>
      <c r="BG103" s="49"/>
      <c r="BH103" s="49"/>
      <c r="BI103" s="49"/>
      <c r="BJ103" s="49"/>
      <c r="BK103" s="115" t="s">
        <v>1145</v>
      </c>
      <c r="BL103" s="115" t="s">
        <v>1145</v>
      </c>
      <c r="BM103" s="115" t="s">
        <v>1272</v>
      </c>
      <c r="BN103" s="115" t="s">
        <v>1272</v>
      </c>
      <c r="BO103" s="2"/>
      <c r="BP103" s="3"/>
      <c r="BQ103" s="3"/>
      <c r="BR103" s="3"/>
      <c r="BS103" s="3"/>
    </row>
    <row r="104" spans="1:71" ht="15">
      <c r="A104" s="66" t="s">
        <v>322</v>
      </c>
      <c r="B104" s="67"/>
      <c r="C104" s="67"/>
      <c r="D104" s="68">
        <v>150</v>
      </c>
      <c r="E104" s="70"/>
      <c r="F104" s="103" t="str">
        <f>HYPERLINK("https://yt3.ggpht.com/ytc/AOPolaRZuvQwXANmH3kor6CkE0FfL3O8JHTP16cxQw=s88-c-k-c0x00ffffff-no-rj")</f>
        <v>https://yt3.ggpht.com/ytc/AOPolaRZuvQwXANmH3kor6CkE0FfL3O8JHTP16cxQw=s88-c-k-c0x00ffffff-no-rj</v>
      </c>
      <c r="G104" s="67"/>
      <c r="H104" s="71" t="s">
        <v>639</v>
      </c>
      <c r="I104" s="72"/>
      <c r="J104" s="72" t="s">
        <v>159</v>
      </c>
      <c r="K104" s="71" t="s">
        <v>639</v>
      </c>
      <c r="L104" s="75">
        <v>1</v>
      </c>
      <c r="M104" s="76">
        <v>2293.057861328125</v>
      </c>
      <c r="N104" s="76">
        <v>8092.46826171875</v>
      </c>
      <c r="O104" s="77"/>
      <c r="P104" s="78"/>
      <c r="Q104" s="78"/>
      <c r="R104" s="89"/>
      <c r="S104" s="49">
        <v>0</v>
      </c>
      <c r="T104" s="49">
        <v>1</v>
      </c>
      <c r="U104" s="50">
        <v>0</v>
      </c>
      <c r="V104" s="50">
        <v>0.256952</v>
      </c>
      <c r="W104" s="50">
        <v>0.071778</v>
      </c>
      <c r="X104" s="50">
        <v>0.004811</v>
      </c>
      <c r="Y104" s="50">
        <v>0</v>
      </c>
      <c r="Z104" s="50">
        <v>0</v>
      </c>
      <c r="AA104" s="73">
        <v>104</v>
      </c>
      <c r="AB104" s="73"/>
      <c r="AC104" s="74"/>
      <c r="AD104" s="81" t="s">
        <v>639</v>
      </c>
      <c r="AE104" s="81"/>
      <c r="AF104" s="81"/>
      <c r="AG104" s="81"/>
      <c r="AH104" s="81"/>
      <c r="AI104" s="81" t="s">
        <v>976</v>
      </c>
      <c r="AJ104" s="85">
        <v>39129.83443287037</v>
      </c>
      <c r="AK104" s="83" t="str">
        <f>HYPERLINK("https://yt3.ggpht.com/ytc/AOPolaRZuvQwXANmH3kor6CkE0FfL3O8JHTP16cxQw=s88-c-k-c0x00ffffff-no-rj")</f>
        <v>https://yt3.ggpht.com/ytc/AOPolaRZuvQwXANmH3kor6CkE0FfL3O8JHTP16cxQw=s88-c-k-c0x00ffffff-no-rj</v>
      </c>
      <c r="AL104" s="81">
        <v>0</v>
      </c>
      <c r="AM104" s="81">
        <v>0</v>
      </c>
      <c r="AN104" s="81">
        <v>3</v>
      </c>
      <c r="AO104" s="81" t="b">
        <v>0</v>
      </c>
      <c r="AP104" s="81">
        <v>0</v>
      </c>
      <c r="AQ104" s="81"/>
      <c r="AR104" s="81"/>
      <c r="AS104" s="81" t="s">
        <v>1057</v>
      </c>
      <c r="AT104" s="83" t="str">
        <f>HYPERLINK("https://www.youtube.com/channel/UC69FYPrUTpRIql2_AVhebwA")</f>
        <v>https://www.youtube.com/channel/UC69FYPrUTpRIql2_AVhebwA</v>
      </c>
      <c r="AU104" s="81">
        <v>1</v>
      </c>
      <c r="AV104" s="49">
        <v>2</v>
      </c>
      <c r="AW104" s="50">
        <v>4.651162790697675</v>
      </c>
      <c r="AX104" s="49">
        <v>1</v>
      </c>
      <c r="AY104" s="50">
        <v>2.3255813953488373</v>
      </c>
      <c r="AZ104" s="49">
        <v>0</v>
      </c>
      <c r="BA104" s="50">
        <v>0</v>
      </c>
      <c r="BB104" s="49">
        <v>13</v>
      </c>
      <c r="BC104" s="50">
        <v>30.232558139534884</v>
      </c>
      <c r="BD104" s="49">
        <v>43</v>
      </c>
      <c r="BE104" s="49"/>
      <c r="BF104" s="49"/>
      <c r="BG104" s="49"/>
      <c r="BH104" s="49"/>
      <c r="BI104" s="49"/>
      <c r="BJ104" s="49"/>
      <c r="BK104" s="115" t="s">
        <v>1146</v>
      </c>
      <c r="BL104" s="115" t="s">
        <v>1146</v>
      </c>
      <c r="BM104" s="115" t="s">
        <v>1273</v>
      </c>
      <c r="BN104" s="115" t="s">
        <v>1273</v>
      </c>
      <c r="BO104" s="2"/>
      <c r="BP104" s="3"/>
      <c r="BQ104" s="3"/>
      <c r="BR104" s="3"/>
      <c r="BS104" s="3"/>
    </row>
    <row r="105" spans="1:71" ht="15">
      <c r="A105" s="66" t="s">
        <v>323</v>
      </c>
      <c r="B105" s="67"/>
      <c r="C105" s="67"/>
      <c r="D105" s="68">
        <v>150</v>
      </c>
      <c r="E105" s="70"/>
      <c r="F105" s="103" t="str">
        <f>HYPERLINK("https://yt3.ggpht.com/ytc/AOPolaSE4v2wMurao-9Mjd0fD8bh_Woq6iiV18utzSrQ=s88-c-k-c0x00ffffff-no-rj")</f>
        <v>https://yt3.ggpht.com/ytc/AOPolaSE4v2wMurao-9Mjd0fD8bh_Woq6iiV18utzSrQ=s88-c-k-c0x00ffffff-no-rj</v>
      </c>
      <c r="G105" s="67"/>
      <c r="H105" s="71" t="s">
        <v>640</v>
      </c>
      <c r="I105" s="72"/>
      <c r="J105" s="72" t="s">
        <v>159</v>
      </c>
      <c r="K105" s="71" t="s">
        <v>640</v>
      </c>
      <c r="L105" s="75">
        <v>1</v>
      </c>
      <c r="M105" s="76">
        <v>4593.8505859375</v>
      </c>
      <c r="N105" s="76">
        <v>4502.83251953125</v>
      </c>
      <c r="O105" s="77"/>
      <c r="P105" s="78"/>
      <c r="Q105" s="78"/>
      <c r="R105" s="89"/>
      <c r="S105" s="49">
        <v>0</v>
      </c>
      <c r="T105" s="49">
        <v>1</v>
      </c>
      <c r="U105" s="50">
        <v>0</v>
      </c>
      <c r="V105" s="50">
        <v>0.256952</v>
      </c>
      <c r="W105" s="50">
        <v>0.071778</v>
      </c>
      <c r="X105" s="50">
        <v>0.004811</v>
      </c>
      <c r="Y105" s="50">
        <v>0</v>
      </c>
      <c r="Z105" s="50">
        <v>0</v>
      </c>
      <c r="AA105" s="73">
        <v>105</v>
      </c>
      <c r="AB105" s="73"/>
      <c r="AC105" s="74"/>
      <c r="AD105" s="81" t="s">
        <v>640</v>
      </c>
      <c r="AE105" s="81" t="s">
        <v>838</v>
      </c>
      <c r="AF105" s="81"/>
      <c r="AG105" s="81"/>
      <c r="AH105" s="81"/>
      <c r="AI105" s="81" t="s">
        <v>977</v>
      </c>
      <c r="AJ105" s="85">
        <v>43151.97521990741</v>
      </c>
      <c r="AK105" s="83" t="str">
        <f>HYPERLINK("https://yt3.ggpht.com/ytc/AOPolaSE4v2wMurao-9Mjd0fD8bh_Woq6iiV18utzSrQ=s88-c-k-c0x00ffffff-no-rj")</f>
        <v>https://yt3.ggpht.com/ytc/AOPolaSE4v2wMurao-9Mjd0fD8bh_Woq6iiV18utzSrQ=s88-c-k-c0x00ffffff-no-rj</v>
      </c>
      <c r="AL105" s="81">
        <v>2037</v>
      </c>
      <c r="AM105" s="81">
        <v>0</v>
      </c>
      <c r="AN105" s="81">
        <v>154</v>
      </c>
      <c r="AO105" s="81" t="b">
        <v>0</v>
      </c>
      <c r="AP105" s="81">
        <v>9</v>
      </c>
      <c r="AQ105" s="81"/>
      <c r="AR105" s="81"/>
      <c r="AS105" s="81" t="s">
        <v>1057</v>
      </c>
      <c r="AT105" s="83" t="str">
        <f>HYPERLINK("https://www.youtube.com/channel/UCnD77H0YexgPR9VV0SN4izg")</f>
        <v>https://www.youtube.com/channel/UCnD77H0YexgPR9VV0SN4izg</v>
      </c>
      <c r="AU105" s="81">
        <v>1</v>
      </c>
      <c r="AV105" s="49">
        <v>2</v>
      </c>
      <c r="AW105" s="50">
        <v>7.407407407407407</v>
      </c>
      <c r="AX105" s="49">
        <v>0</v>
      </c>
      <c r="AY105" s="50">
        <v>0</v>
      </c>
      <c r="AZ105" s="49">
        <v>0</v>
      </c>
      <c r="BA105" s="50">
        <v>0</v>
      </c>
      <c r="BB105" s="49">
        <v>9</v>
      </c>
      <c r="BC105" s="50">
        <v>33.333333333333336</v>
      </c>
      <c r="BD105" s="49">
        <v>27</v>
      </c>
      <c r="BE105" s="49"/>
      <c r="BF105" s="49"/>
      <c r="BG105" s="49"/>
      <c r="BH105" s="49"/>
      <c r="BI105" s="49"/>
      <c r="BJ105" s="49"/>
      <c r="BK105" s="115" t="s">
        <v>1147</v>
      </c>
      <c r="BL105" s="115" t="s">
        <v>1147</v>
      </c>
      <c r="BM105" s="115" t="s">
        <v>1274</v>
      </c>
      <c r="BN105" s="115" t="s">
        <v>1274</v>
      </c>
      <c r="BO105" s="2"/>
      <c r="BP105" s="3"/>
      <c r="BQ105" s="3"/>
      <c r="BR105" s="3"/>
      <c r="BS105" s="3"/>
    </row>
    <row r="106" spans="1:71" ht="15">
      <c r="A106" s="66" t="s">
        <v>324</v>
      </c>
      <c r="B106" s="67"/>
      <c r="C106" s="67"/>
      <c r="D106" s="68">
        <v>150</v>
      </c>
      <c r="E106" s="70"/>
      <c r="F106" s="103" t="str">
        <f>HYPERLINK("https://yt3.ggpht.com/ytc/AOPolaRrotSL9qT0ybP48CXNNM9kyWDRzIvFu9xi9w=s88-c-k-c0x00ffffff-no-rj")</f>
        <v>https://yt3.ggpht.com/ytc/AOPolaRrotSL9qT0ybP48CXNNM9kyWDRzIvFu9xi9w=s88-c-k-c0x00ffffff-no-rj</v>
      </c>
      <c r="G106" s="67"/>
      <c r="H106" s="71" t="s">
        <v>641</v>
      </c>
      <c r="I106" s="72"/>
      <c r="J106" s="72" t="s">
        <v>159</v>
      </c>
      <c r="K106" s="71" t="s">
        <v>641</v>
      </c>
      <c r="L106" s="75">
        <v>1</v>
      </c>
      <c r="M106" s="76">
        <v>5001.6669921875</v>
      </c>
      <c r="N106" s="76">
        <v>6106.26123046875</v>
      </c>
      <c r="O106" s="77"/>
      <c r="P106" s="78"/>
      <c r="Q106" s="78"/>
      <c r="R106" s="89"/>
      <c r="S106" s="49">
        <v>0</v>
      </c>
      <c r="T106" s="49">
        <v>1</v>
      </c>
      <c r="U106" s="50">
        <v>0</v>
      </c>
      <c r="V106" s="50">
        <v>0.256952</v>
      </c>
      <c r="W106" s="50">
        <v>0.071778</v>
      </c>
      <c r="X106" s="50">
        <v>0.004811</v>
      </c>
      <c r="Y106" s="50">
        <v>0</v>
      </c>
      <c r="Z106" s="50">
        <v>0</v>
      </c>
      <c r="AA106" s="73">
        <v>106</v>
      </c>
      <c r="AB106" s="73"/>
      <c r="AC106" s="74"/>
      <c r="AD106" s="81" t="s">
        <v>641</v>
      </c>
      <c r="AE106" s="81"/>
      <c r="AF106" s="81"/>
      <c r="AG106" s="81"/>
      <c r="AH106" s="81"/>
      <c r="AI106" s="81" t="s">
        <v>978</v>
      </c>
      <c r="AJ106" s="85">
        <v>42943.292129629626</v>
      </c>
      <c r="AK106" s="83" t="str">
        <f>HYPERLINK("https://yt3.ggpht.com/ytc/AOPolaRrotSL9qT0ybP48CXNNM9kyWDRzIvFu9xi9w=s88-c-k-c0x00ffffff-no-rj")</f>
        <v>https://yt3.ggpht.com/ytc/AOPolaRrotSL9qT0ybP48CXNNM9kyWDRzIvFu9xi9w=s88-c-k-c0x00ffffff-no-rj</v>
      </c>
      <c r="AL106" s="81">
        <v>0</v>
      </c>
      <c r="AM106" s="81">
        <v>0</v>
      </c>
      <c r="AN106" s="81">
        <v>1</v>
      </c>
      <c r="AO106" s="81" t="b">
        <v>0</v>
      </c>
      <c r="AP106" s="81">
        <v>1</v>
      </c>
      <c r="AQ106" s="81"/>
      <c r="AR106" s="81"/>
      <c r="AS106" s="81" t="s">
        <v>1057</v>
      </c>
      <c r="AT106" s="83" t="str">
        <f>HYPERLINK("https://www.youtube.com/channel/UCGojjKra09WLZc28x_iynrQ")</f>
        <v>https://www.youtube.com/channel/UCGojjKra09WLZc28x_iynrQ</v>
      </c>
      <c r="AU106" s="81">
        <v>1</v>
      </c>
      <c r="AV106" s="49">
        <v>2</v>
      </c>
      <c r="AW106" s="50">
        <v>22.22222222222222</v>
      </c>
      <c r="AX106" s="49">
        <v>0</v>
      </c>
      <c r="AY106" s="50">
        <v>0</v>
      </c>
      <c r="AZ106" s="49">
        <v>0</v>
      </c>
      <c r="BA106" s="50">
        <v>0</v>
      </c>
      <c r="BB106" s="49">
        <v>4</v>
      </c>
      <c r="BC106" s="50">
        <v>44.44444444444444</v>
      </c>
      <c r="BD106" s="49">
        <v>9</v>
      </c>
      <c r="BE106" s="49"/>
      <c r="BF106" s="49"/>
      <c r="BG106" s="49"/>
      <c r="BH106" s="49"/>
      <c r="BI106" s="49"/>
      <c r="BJ106" s="49"/>
      <c r="BK106" s="115" t="s">
        <v>1148</v>
      </c>
      <c r="BL106" s="115" t="s">
        <v>1148</v>
      </c>
      <c r="BM106" s="115" t="s">
        <v>1275</v>
      </c>
      <c r="BN106" s="115" t="s">
        <v>1275</v>
      </c>
      <c r="BO106" s="2"/>
      <c r="BP106" s="3"/>
      <c r="BQ106" s="3"/>
      <c r="BR106" s="3"/>
      <c r="BS106" s="3"/>
    </row>
    <row r="107" spans="1:71" ht="15">
      <c r="A107" s="66" t="s">
        <v>325</v>
      </c>
      <c r="B107" s="67"/>
      <c r="C107" s="67"/>
      <c r="D107" s="68">
        <v>150</v>
      </c>
      <c r="E107" s="70"/>
      <c r="F107" s="103" t="str">
        <f>HYPERLINK("https://yt3.ggpht.com/aA0a7M6rp405zBa_qJKwloW859fn32TxfILMvepOysjDrk7u-htMWthpwndtmnMpU5Z9Y07WbKc=s88-c-k-c0x00ffffff-no-rj")</f>
        <v>https://yt3.ggpht.com/aA0a7M6rp405zBa_qJKwloW859fn32TxfILMvepOysjDrk7u-htMWthpwndtmnMpU5Z9Y07WbKc=s88-c-k-c0x00ffffff-no-rj</v>
      </c>
      <c r="G107" s="67"/>
      <c r="H107" s="71" t="s">
        <v>642</v>
      </c>
      <c r="I107" s="72"/>
      <c r="J107" s="72" t="s">
        <v>159</v>
      </c>
      <c r="K107" s="71" t="s">
        <v>642</v>
      </c>
      <c r="L107" s="75">
        <v>1</v>
      </c>
      <c r="M107" s="76">
        <v>3256.7236328125</v>
      </c>
      <c r="N107" s="76">
        <v>7751.3525390625</v>
      </c>
      <c r="O107" s="77"/>
      <c r="P107" s="78"/>
      <c r="Q107" s="78"/>
      <c r="R107" s="89"/>
      <c r="S107" s="49">
        <v>0</v>
      </c>
      <c r="T107" s="49">
        <v>1</v>
      </c>
      <c r="U107" s="50">
        <v>0</v>
      </c>
      <c r="V107" s="50">
        <v>0.256952</v>
      </c>
      <c r="W107" s="50">
        <v>0.071778</v>
      </c>
      <c r="X107" s="50">
        <v>0.004811</v>
      </c>
      <c r="Y107" s="50">
        <v>0</v>
      </c>
      <c r="Z107" s="50">
        <v>0</v>
      </c>
      <c r="AA107" s="73">
        <v>107</v>
      </c>
      <c r="AB107" s="73"/>
      <c r="AC107" s="74"/>
      <c r="AD107" s="81" t="s">
        <v>642</v>
      </c>
      <c r="AE107" s="81" t="s">
        <v>839</v>
      </c>
      <c r="AF107" s="81"/>
      <c r="AG107" s="81"/>
      <c r="AH107" s="81"/>
      <c r="AI107" s="81" t="s">
        <v>979</v>
      </c>
      <c r="AJ107" s="85">
        <v>43252.78885416667</v>
      </c>
      <c r="AK107" s="83" t="str">
        <f>HYPERLINK("https://yt3.ggpht.com/aA0a7M6rp405zBa_qJKwloW859fn32TxfILMvepOysjDrk7u-htMWthpwndtmnMpU5Z9Y07WbKc=s88-c-k-c0x00ffffff-no-rj")</f>
        <v>https://yt3.ggpht.com/aA0a7M6rp405zBa_qJKwloW859fn32TxfILMvepOysjDrk7u-htMWthpwndtmnMpU5Z9Y07WbKc=s88-c-k-c0x00ffffff-no-rj</v>
      </c>
      <c r="AL107" s="81">
        <v>0</v>
      </c>
      <c r="AM107" s="81">
        <v>0</v>
      </c>
      <c r="AN107" s="81">
        <v>0</v>
      </c>
      <c r="AO107" s="81" t="b">
        <v>0</v>
      </c>
      <c r="AP107" s="81">
        <v>0</v>
      </c>
      <c r="AQ107" s="81"/>
      <c r="AR107" s="81"/>
      <c r="AS107" s="81" t="s">
        <v>1057</v>
      </c>
      <c r="AT107" s="83" t="str">
        <f>HYPERLINK("https://www.youtube.com/channel/UClOtw2dELCrOWJhhtF4HJEg")</f>
        <v>https://www.youtube.com/channel/UClOtw2dELCrOWJhhtF4HJEg</v>
      </c>
      <c r="AU107" s="81">
        <v>1</v>
      </c>
      <c r="AV107" s="49">
        <v>0</v>
      </c>
      <c r="AW107" s="50">
        <v>0</v>
      </c>
      <c r="AX107" s="49">
        <v>0</v>
      </c>
      <c r="AY107" s="50">
        <v>0</v>
      </c>
      <c r="AZ107" s="49">
        <v>0</v>
      </c>
      <c r="BA107" s="50">
        <v>0</v>
      </c>
      <c r="BB107" s="49">
        <v>4</v>
      </c>
      <c r="BC107" s="50">
        <v>44.44444444444444</v>
      </c>
      <c r="BD107" s="49">
        <v>9</v>
      </c>
      <c r="BE107" s="49"/>
      <c r="BF107" s="49"/>
      <c r="BG107" s="49"/>
      <c r="BH107" s="49"/>
      <c r="BI107" s="49"/>
      <c r="BJ107" s="49"/>
      <c r="BK107" s="115" t="s">
        <v>1149</v>
      </c>
      <c r="BL107" s="115" t="s">
        <v>1149</v>
      </c>
      <c r="BM107" s="115" t="s">
        <v>1276</v>
      </c>
      <c r="BN107" s="115" t="s">
        <v>1276</v>
      </c>
      <c r="BO107" s="2"/>
      <c r="BP107" s="3"/>
      <c r="BQ107" s="3"/>
      <c r="BR107" s="3"/>
      <c r="BS107" s="3"/>
    </row>
    <row r="108" spans="1:71" ht="15">
      <c r="A108" s="66" t="s">
        <v>326</v>
      </c>
      <c r="B108" s="67"/>
      <c r="C108" s="67"/>
      <c r="D108" s="68">
        <v>150</v>
      </c>
      <c r="E108" s="70"/>
      <c r="F108" s="103" t="str">
        <f>HYPERLINK("https://yt3.ggpht.com/z53sWPiPOCEu5ih_EvRF6Ni2yxuxUpZyHn9fsx0YEblPd795mHWdLZQ8MhEtDk_EOtdcgjUd=s88-c-k-c0x00ffffff-no-rj")</f>
        <v>https://yt3.ggpht.com/z53sWPiPOCEu5ih_EvRF6Ni2yxuxUpZyHn9fsx0YEblPd795mHWdLZQ8MhEtDk_EOtdcgjUd=s88-c-k-c0x00ffffff-no-rj</v>
      </c>
      <c r="G108" s="67"/>
      <c r="H108" s="71" t="s">
        <v>643</v>
      </c>
      <c r="I108" s="72"/>
      <c r="J108" s="72" t="s">
        <v>159</v>
      </c>
      <c r="K108" s="71" t="s">
        <v>643</v>
      </c>
      <c r="L108" s="75">
        <v>1</v>
      </c>
      <c r="M108" s="76">
        <v>4073.724609375</v>
      </c>
      <c r="N108" s="76">
        <v>8925.9599609375</v>
      </c>
      <c r="O108" s="77"/>
      <c r="P108" s="78"/>
      <c r="Q108" s="78"/>
      <c r="R108" s="89"/>
      <c r="S108" s="49">
        <v>0</v>
      </c>
      <c r="T108" s="49">
        <v>1</v>
      </c>
      <c r="U108" s="50">
        <v>0</v>
      </c>
      <c r="V108" s="50">
        <v>0.256952</v>
      </c>
      <c r="W108" s="50">
        <v>0.071778</v>
      </c>
      <c r="X108" s="50">
        <v>0.004811</v>
      </c>
      <c r="Y108" s="50">
        <v>0</v>
      </c>
      <c r="Z108" s="50">
        <v>0</v>
      </c>
      <c r="AA108" s="73">
        <v>108</v>
      </c>
      <c r="AB108" s="73"/>
      <c r="AC108" s="74"/>
      <c r="AD108" s="81" t="s">
        <v>643</v>
      </c>
      <c r="AE108" s="81" t="s">
        <v>840</v>
      </c>
      <c r="AF108" s="81"/>
      <c r="AG108" s="81"/>
      <c r="AH108" s="81"/>
      <c r="AI108" s="81" t="s">
        <v>980</v>
      </c>
      <c r="AJ108" s="85">
        <v>42264.317141203705</v>
      </c>
      <c r="AK108" s="83" t="str">
        <f>HYPERLINK("https://yt3.ggpht.com/z53sWPiPOCEu5ih_EvRF6Ni2yxuxUpZyHn9fsx0YEblPd795mHWdLZQ8MhEtDk_EOtdcgjUd=s88-c-k-c0x00ffffff-no-rj")</f>
        <v>https://yt3.ggpht.com/z53sWPiPOCEu5ih_EvRF6Ni2yxuxUpZyHn9fsx0YEblPd795mHWdLZQ8MhEtDk_EOtdcgjUd=s88-c-k-c0x00ffffff-no-rj</v>
      </c>
      <c r="AL108" s="81">
        <v>1300</v>
      </c>
      <c r="AM108" s="81">
        <v>0</v>
      </c>
      <c r="AN108" s="81">
        <v>13</v>
      </c>
      <c r="AO108" s="81" t="b">
        <v>0</v>
      </c>
      <c r="AP108" s="81">
        <v>13</v>
      </c>
      <c r="AQ108" s="81"/>
      <c r="AR108" s="81"/>
      <c r="AS108" s="81" t="s">
        <v>1057</v>
      </c>
      <c r="AT108" s="83" t="str">
        <f>HYPERLINK("https://www.youtube.com/channel/UCWnOoFnOrYODGSSxnImeuCA")</f>
        <v>https://www.youtube.com/channel/UCWnOoFnOrYODGSSxnImeuCA</v>
      </c>
      <c r="AU108" s="81">
        <v>1</v>
      </c>
      <c r="AV108" s="49">
        <v>4</v>
      </c>
      <c r="AW108" s="50">
        <v>4.938271604938271</v>
      </c>
      <c r="AX108" s="49">
        <v>4</v>
      </c>
      <c r="AY108" s="50">
        <v>4.938271604938271</v>
      </c>
      <c r="AZ108" s="49">
        <v>0</v>
      </c>
      <c r="BA108" s="50">
        <v>0</v>
      </c>
      <c r="BB108" s="49">
        <v>16</v>
      </c>
      <c r="BC108" s="50">
        <v>19.753086419753085</v>
      </c>
      <c r="BD108" s="49">
        <v>81</v>
      </c>
      <c r="BE108" s="49"/>
      <c r="BF108" s="49"/>
      <c r="BG108" s="49"/>
      <c r="BH108" s="49"/>
      <c r="BI108" s="49"/>
      <c r="BJ108" s="49"/>
      <c r="BK108" s="115" t="s">
        <v>1150</v>
      </c>
      <c r="BL108" s="115" t="s">
        <v>1150</v>
      </c>
      <c r="BM108" s="115" t="s">
        <v>1277</v>
      </c>
      <c r="BN108" s="115" t="s">
        <v>1277</v>
      </c>
      <c r="BO108" s="2"/>
      <c r="BP108" s="3"/>
      <c r="BQ108" s="3"/>
      <c r="BR108" s="3"/>
      <c r="BS108" s="3"/>
    </row>
    <row r="109" spans="1:71" ht="15">
      <c r="A109" s="66" t="s">
        <v>327</v>
      </c>
      <c r="B109" s="67"/>
      <c r="C109" s="67"/>
      <c r="D109" s="68">
        <v>150</v>
      </c>
      <c r="E109" s="70"/>
      <c r="F109" s="103" t="str">
        <f>HYPERLINK("https://yt3.ggpht.com/ytc/AOPolaSh8Yha_SMGn0lGk8qFmhhLVkayCn6o4qu4utgWYQ=s88-c-k-c0x00ffffff-no-rj")</f>
        <v>https://yt3.ggpht.com/ytc/AOPolaSh8Yha_SMGn0lGk8qFmhhLVkayCn6o4qu4utgWYQ=s88-c-k-c0x00ffffff-no-rj</v>
      </c>
      <c r="G109" s="67"/>
      <c r="H109" s="71" t="s">
        <v>644</v>
      </c>
      <c r="I109" s="72"/>
      <c r="J109" s="72" t="s">
        <v>159</v>
      </c>
      <c r="K109" s="71" t="s">
        <v>644</v>
      </c>
      <c r="L109" s="75">
        <v>1</v>
      </c>
      <c r="M109" s="76">
        <v>2975.336181640625</v>
      </c>
      <c r="N109" s="76">
        <v>994.5324096679688</v>
      </c>
      <c r="O109" s="77"/>
      <c r="P109" s="78"/>
      <c r="Q109" s="78"/>
      <c r="R109" s="89"/>
      <c r="S109" s="49">
        <v>0</v>
      </c>
      <c r="T109" s="49">
        <v>1</v>
      </c>
      <c r="U109" s="50">
        <v>0</v>
      </c>
      <c r="V109" s="50">
        <v>0.256952</v>
      </c>
      <c r="W109" s="50">
        <v>0.071778</v>
      </c>
      <c r="X109" s="50">
        <v>0.004811</v>
      </c>
      <c r="Y109" s="50">
        <v>0</v>
      </c>
      <c r="Z109" s="50">
        <v>0</v>
      </c>
      <c r="AA109" s="73">
        <v>109</v>
      </c>
      <c r="AB109" s="73"/>
      <c r="AC109" s="74"/>
      <c r="AD109" s="81" t="s">
        <v>644</v>
      </c>
      <c r="AE109" s="81"/>
      <c r="AF109" s="81"/>
      <c r="AG109" s="81"/>
      <c r="AH109" s="81"/>
      <c r="AI109" s="81" t="s">
        <v>981</v>
      </c>
      <c r="AJ109" s="85">
        <v>43070.08306712963</v>
      </c>
      <c r="AK109" s="83" t="str">
        <f>HYPERLINK("https://yt3.ggpht.com/ytc/AOPolaSh8Yha_SMGn0lGk8qFmhhLVkayCn6o4qu4utgWYQ=s88-c-k-c0x00ffffff-no-rj")</f>
        <v>https://yt3.ggpht.com/ytc/AOPolaSh8Yha_SMGn0lGk8qFmhhLVkayCn6o4qu4utgWYQ=s88-c-k-c0x00ffffff-no-rj</v>
      </c>
      <c r="AL109" s="81">
        <v>13</v>
      </c>
      <c r="AM109" s="81">
        <v>0</v>
      </c>
      <c r="AN109" s="81">
        <v>0</v>
      </c>
      <c r="AO109" s="81" t="b">
        <v>0</v>
      </c>
      <c r="AP109" s="81">
        <v>2</v>
      </c>
      <c r="AQ109" s="81"/>
      <c r="AR109" s="81"/>
      <c r="AS109" s="81" t="s">
        <v>1057</v>
      </c>
      <c r="AT109" s="83" t="str">
        <f>HYPERLINK("https://www.youtube.com/channel/UCIHYPsgrsRcDrK0rKDQYpBA")</f>
        <v>https://www.youtube.com/channel/UCIHYPsgrsRcDrK0rKDQYpBA</v>
      </c>
      <c r="AU109" s="81">
        <v>1</v>
      </c>
      <c r="AV109" s="49">
        <v>2</v>
      </c>
      <c r="AW109" s="50">
        <v>3.125</v>
      </c>
      <c r="AX109" s="49">
        <v>0</v>
      </c>
      <c r="AY109" s="50">
        <v>0</v>
      </c>
      <c r="AZ109" s="49">
        <v>0</v>
      </c>
      <c r="BA109" s="50">
        <v>0</v>
      </c>
      <c r="BB109" s="49">
        <v>13</v>
      </c>
      <c r="BC109" s="50">
        <v>20.3125</v>
      </c>
      <c r="BD109" s="49">
        <v>64</v>
      </c>
      <c r="BE109" s="49"/>
      <c r="BF109" s="49"/>
      <c r="BG109" s="49"/>
      <c r="BH109" s="49"/>
      <c r="BI109" s="49"/>
      <c r="BJ109" s="49"/>
      <c r="BK109" s="115" t="s">
        <v>1151</v>
      </c>
      <c r="BL109" s="115" t="s">
        <v>1151</v>
      </c>
      <c r="BM109" s="115" t="s">
        <v>1278</v>
      </c>
      <c r="BN109" s="115" t="s">
        <v>1278</v>
      </c>
      <c r="BO109" s="2"/>
      <c r="BP109" s="3"/>
      <c r="BQ109" s="3"/>
      <c r="BR109" s="3"/>
      <c r="BS109" s="3"/>
    </row>
    <row r="110" spans="1:71" ht="15">
      <c r="A110" s="66" t="s">
        <v>328</v>
      </c>
      <c r="B110" s="67"/>
      <c r="C110" s="67"/>
      <c r="D110" s="68">
        <v>150</v>
      </c>
      <c r="E110" s="70"/>
      <c r="F110" s="103" t="str">
        <f>HYPERLINK("https://yt3.ggpht.com/ytc/AOPolaRF4OHCZqOyICNhXEti6IXbkjGK26xZgbtE6g=s88-c-k-c0x00ffffff-no-rj")</f>
        <v>https://yt3.ggpht.com/ytc/AOPolaRF4OHCZqOyICNhXEti6IXbkjGK26xZgbtE6g=s88-c-k-c0x00ffffff-no-rj</v>
      </c>
      <c r="G110" s="67"/>
      <c r="H110" s="71" t="s">
        <v>645</v>
      </c>
      <c r="I110" s="72"/>
      <c r="J110" s="72" t="s">
        <v>159</v>
      </c>
      <c r="K110" s="71" t="s">
        <v>645</v>
      </c>
      <c r="L110" s="75">
        <v>1</v>
      </c>
      <c r="M110" s="76">
        <v>2269.3291015625</v>
      </c>
      <c r="N110" s="76">
        <v>9139.7109375</v>
      </c>
      <c r="O110" s="77"/>
      <c r="P110" s="78"/>
      <c r="Q110" s="78"/>
      <c r="R110" s="89"/>
      <c r="S110" s="49">
        <v>0</v>
      </c>
      <c r="T110" s="49">
        <v>1</v>
      </c>
      <c r="U110" s="50">
        <v>0</v>
      </c>
      <c r="V110" s="50">
        <v>0.256952</v>
      </c>
      <c r="W110" s="50">
        <v>0.071778</v>
      </c>
      <c r="X110" s="50">
        <v>0.004811</v>
      </c>
      <c r="Y110" s="50">
        <v>0</v>
      </c>
      <c r="Z110" s="50">
        <v>0</v>
      </c>
      <c r="AA110" s="73">
        <v>110</v>
      </c>
      <c r="AB110" s="73"/>
      <c r="AC110" s="74"/>
      <c r="AD110" s="81" t="s">
        <v>645</v>
      </c>
      <c r="AE110" s="81"/>
      <c r="AF110" s="81"/>
      <c r="AG110" s="81"/>
      <c r="AH110" s="81"/>
      <c r="AI110" s="81" t="s">
        <v>982</v>
      </c>
      <c r="AJ110" s="85">
        <v>42030.13586805556</v>
      </c>
      <c r="AK110" s="83" t="str">
        <f>HYPERLINK("https://yt3.ggpht.com/ytc/AOPolaRF4OHCZqOyICNhXEti6IXbkjGK26xZgbtE6g=s88-c-k-c0x00ffffff-no-rj")</f>
        <v>https://yt3.ggpht.com/ytc/AOPolaRF4OHCZqOyICNhXEti6IXbkjGK26xZgbtE6g=s88-c-k-c0x00ffffff-no-rj</v>
      </c>
      <c r="AL110" s="81">
        <v>0</v>
      </c>
      <c r="AM110" s="81">
        <v>0</v>
      </c>
      <c r="AN110" s="81">
        <v>0</v>
      </c>
      <c r="AO110" s="81" t="b">
        <v>0</v>
      </c>
      <c r="AP110" s="81">
        <v>0</v>
      </c>
      <c r="AQ110" s="81"/>
      <c r="AR110" s="81"/>
      <c r="AS110" s="81" t="s">
        <v>1057</v>
      </c>
      <c r="AT110" s="83" t="str">
        <f>HYPERLINK("https://www.youtube.com/channel/UCcqxoFOjYOOHcJg5wiMv0GQ")</f>
        <v>https://www.youtube.com/channel/UCcqxoFOjYOOHcJg5wiMv0GQ</v>
      </c>
      <c r="AU110" s="81">
        <v>1</v>
      </c>
      <c r="AV110" s="49">
        <v>1</v>
      </c>
      <c r="AW110" s="50">
        <v>12.5</v>
      </c>
      <c r="AX110" s="49">
        <v>0</v>
      </c>
      <c r="AY110" s="50">
        <v>0</v>
      </c>
      <c r="AZ110" s="49">
        <v>0</v>
      </c>
      <c r="BA110" s="50">
        <v>0</v>
      </c>
      <c r="BB110" s="49">
        <v>4</v>
      </c>
      <c r="BC110" s="50">
        <v>50</v>
      </c>
      <c r="BD110" s="49">
        <v>8</v>
      </c>
      <c r="BE110" s="49"/>
      <c r="BF110" s="49"/>
      <c r="BG110" s="49"/>
      <c r="BH110" s="49"/>
      <c r="BI110" s="49"/>
      <c r="BJ110" s="49"/>
      <c r="BK110" s="115" t="s">
        <v>1152</v>
      </c>
      <c r="BL110" s="115" t="s">
        <v>1152</v>
      </c>
      <c r="BM110" s="115" t="s">
        <v>1279</v>
      </c>
      <c r="BN110" s="115" t="s">
        <v>1279</v>
      </c>
      <c r="BO110" s="2"/>
      <c r="BP110" s="3"/>
      <c r="BQ110" s="3"/>
      <c r="BR110" s="3"/>
      <c r="BS110" s="3"/>
    </row>
    <row r="111" spans="1:71" ht="15">
      <c r="A111" s="66" t="s">
        <v>329</v>
      </c>
      <c r="B111" s="67"/>
      <c r="C111" s="67"/>
      <c r="D111" s="68">
        <v>150</v>
      </c>
      <c r="E111" s="70"/>
      <c r="F111" s="103" t="str">
        <f>HYPERLINK("https://yt3.ggpht.com/ytc/AOPolaSRazlgXngrKdKtO7-SkKqzBMFWcsiG-Lw53ohBzA=s88-c-k-c0x00ffffff-no-rj")</f>
        <v>https://yt3.ggpht.com/ytc/AOPolaSRazlgXngrKdKtO7-SkKqzBMFWcsiG-Lw53ohBzA=s88-c-k-c0x00ffffff-no-rj</v>
      </c>
      <c r="G111" s="67"/>
      <c r="H111" s="71" t="s">
        <v>646</v>
      </c>
      <c r="I111" s="72"/>
      <c r="J111" s="72" t="s">
        <v>159</v>
      </c>
      <c r="K111" s="71" t="s">
        <v>646</v>
      </c>
      <c r="L111" s="75">
        <v>1</v>
      </c>
      <c r="M111" s="76">
        <v>2067.732421875</v>
      </c>
      <c r="N111" s="76">
        <v>268.3551025390625</v>
      </c>
      <c r="O111" s="77"/>
      <c r="P111" s="78"/>
      <c r="Q111" s="78"/>
      <c r="R111" s="89"/>
      <c r="S111" s="49">
        <v>0</v>
      </c>
      <c r="T111" s="49">
        <v>1</v>
      </c>
      <c r="U111" s="50">
        <v>0</v>
      </c>
      <c r="V111" s="50">
        <v>0.256952</v>
      </c>
      <c r="W111" s="50">
        <v>0.071778</v>
      </c>
      <c r="X111" s="50">
        <v>0.004811</v>
      </c>
      <c r="Y111" s="50">
        <v>0</v>
      </c>
      <c r="Z111" s="50">
        <v>0</v>
      </c>
      <c r="AA111" s="73">
        <v>111</v>
      </c>
      <c r="AB111" s="73"/>
      <c r="AC111" s="74"/>
      <c r="AD111" s="81" t="s">
        <v>646</v>
      </c>
      <c r="AE111" s="81"/>
      <c r="AF111" s="81"/>
      <c r="AG111" s="81"/>
      <c r="AH111" s="81"/>
      <c r="AI111" s="81" t="s">
        <v>983</v>
      </c>
      <c r="AJ111" s="85">
        <v>41620.194131944445</v>
      </c>
      <c r="AK111" s="83" t="str">
        <f>HYPERLINK("https://yt3.ggpht.com/ytc/AOPolaSRazlgXngrKdKtO7-SkKqzBMFWcsiG-Lw53ohBzA=s88-c-k-c0x00ffffff-no-rj")</f>
        <v>https://yt3.ggpht.com/ytc/AOPolaSRazlgXngrKdKtO7-SkKqzBMFWcsiG-Lw53ohBzA=s88-c-k-c0x00ffffff-no-rj</v>
      </c>
      <c r="AL111" s="81">
        <v>1778</v>
      </c>
      <c r="AM111" s="81">
        <v>0</v>
      </c>
      <c r="AN111" s="81">
        <v>50</v>
      </c>
      <c r="AO111" s="81" t="b">
        <v>0</v>
      </c>
      <c r="AP111" s="81">
        <v>20</v>
      </c>
      <c r="AQ111" s="81"/>
      <c r="AR111" s="81"/>
      <c r="AS111" s="81" t="s">
        <v>1057</v>
      </c>
      <c r="AT111" s="83" t="str">
        <f>HYPERLINK("https://www.youtube.com/channel/UCtp5mQQN5HoE6f4Wx0A3ZOA")</f>
        <v>https://www.youtube.com/channel/UCtp5mQQN5HoE6f4Wx0A3ZOA</v>
      </c>
      <c r="AU111" s="81">
        <v>1</v>
      </c>
      <c r="AV111" s="49">
        <v>0</v>
      </c>
      <c r="AW111" s="50">
        <v>0</v>
      </c>
      <c r="AX111" s="49">
        <v>1</v>
      </c>
      <c r="AY111" s="50">
        <v>4.166666666666667</v>
      </c>
      <c r="AZ111" s="49">
        <v>0</v>
      </c>
      <c r="BA111" s="50">
        <v>0</v>
      </c>
      <c r="BB111" s="49">
        <v>9</v>
      </c>
      <c r="BC111" s="50">
        <v>37.5</v>
      </c>
      <c r="BD111" s="49">
        <v>24</v>
      </c>
      <c r="BE111" s="49" t="s">
        <v>1575</v>
      </c>
      <c r="BF111" s="49" t="s">
        <v>1575</v>
      </c>
      <c r="BG111" s="49" t="s">
        <v>740</v>
      </c>
      <c r="BH111" s="49" t="s">
        <v>740</v>
      </c>
      <c r="BI111" s="49"/>
      <c r="BJ111" s="49"/>
      <c r="BK111" s="115" t="s">
        <v>1153</v>
      </c>
      <c r="BL111" s="115" t="s">
        <v>1153</v>
      </c>
      <c r="BM111" s="115" t="s">
        <v>1280</v>
      </c>
      <c r="BN111" s="115" t="s">
        <v>1280</v>
      </c>
      <c r="BO111" s="2"/>
      <c r="BP111" s="3"/>
      <c r="BQ111" s="3"/>
      <c r="BR111" s="3"/>
      <c r="BS111" s="3"/>
    </row>
    <row r="112" spans="1:71" ht="15">
      <c r="A112" s="66" t="s">
        <v>330</v>
      </c>
      <c r="B112" s="67"/>
      <c r="C112" s="67"/>
      <c r="D112" s="68">
        <v>150</v>
      </c>
      <c r="E112" s="70"/>
      <c r="F112" s="103" t="str">
        <f>HYPERLINK("https://yt3.ggpht.com/_TDkrXt24MfoQCb7e61U7ECaT_ooZeyGs7Z4Mi-tDxBqE0QK_Wm3w5GKHZhSsr4_sPi-ltVNXUM=s88-c-k-c0x00ffffff-no-rj")</f>
        <v>https://yt3.ggpht.com/_TDkrXt24MfoQCb7e61U7ECaT_ooZeyGs7Z4Mi-tDxBqE0QK_Wm3w5GKHZhSsr4_sPi-ltVNXUM=s88-c-k-c0x00ffffff-no-rj</v>
      </c>
      <c r="G112" s="67"/>
      <c r="H112" s="71" t="s">
        <v>647</v>
      </c>
      <c r="I112" s="72"/>
      <c r="J112" s="72" t="s">
        <v>159</v>
      </c>
      <c r="K112" s="71" t="s">
        <v>647</v>
      </c>
      <c r="L112" s="75">
        <v>1</v>
      </c>
      <c r="M112" s="76">
        <v>1473.8626708984375</v>
      </c>
      <c r="N112" s="76">
        <v>1709.8472900390625</v>
      </c>
      <c r="O112" s="77"/>
      <c r="P112" s="78"/>
      <c r="Q112" s="78"/>
      <c r="R112" s="89"/>
      <c r="S112" s="49">
        <v>0</v>
      </c>
      <c r="T112" s="49">
        <v>1</v>
      </c>
      <c r="U112" s="50">
        <v>0</v>
      </c>
      <c r="V112" s="50">
        <v>0.256952</v>
      </c>
      <c r="W112" s="50">
        <v>0.071778</v>
      </c>
      <c r="X112" s="50">
        <v>0.004811</v>
      </c>
      <c r="Y112" s="50">
        <v>0</v>
      </c>
      <c r="Z112" s="50">
        <v>0</v>
      </c>
      <c r="AA112" s="73">
        <v>112</v>
      </c>
      <c r="AB112" s="73"/>
      <c r="AC112" s="74"/>
      <c r="AD112" s="81" t="s">
        <v>647</v>
      </c>
      <c r="AE112" s="81" t="s">
        <v>841</v>
      </c>
      <c r="AF112" s="81"/>
      <c r="AG112" s="81"/>
      <c r="AH112" s="81"/>
      <c r="AI112" s="81" t="s">
        <v>984</v>
      </c>
      <c r="AJ112" s="85">
        <v>43547.331712962965</v>
      </c>
      <c r="AK112" s="83" t="str">
        <f>HYPERLINK("https://yt3.ggpht.com/_TDkrXt24MfoQCb7e61U7ECaT_ooZeyGs7Z4Mi-tDxBqE0QK_Wm3w5GKHZhSsr4_sPi-ltVNXUM=s88-c-k-c0x00ffffff-no-rj")</f>
        <v>https://yt3.ggpht.com/_TDkrXt24MfoQCb7e61U7ECaT_ooZeyGs7Z4Mi-tDxBqE0QK_Wm3w5GKHZhSsr4_sPi-ltVNXUM=s88-c-k-c0x00ffffff-no-rj</v>
      </c>
      <c r="AL112" s="81">
        <v>847</v>
      </c>
      <c r="AM112" s="81">
        <v>0</v>
      </c>
      <c r="AN112" s="81">
        <v>1</v>
      </c>
      <c r="AO112" s="81" t="b">
        <v>0</v>
      </c>
      <c r="AP112" s="81">
        <v>9</v>
      </c>
      <c r="AQ112" s="81"/>
      <c r="AR112" s="81"/>
      <c r="AS112" s="81" t="s">
        <v>1057</v>
      </c>
      <c r="AT112" s="83" t="str">
        <f>HYPERLINK("https://www.youtube.com/channel/UCaNilsIXHf0nO8Q5QCEukNw")</f>
        <v>https://www.youtube.com/channel/UCaNilsIXHf0nO8Q5QCEukNw</v>
      </c>
      <c r="AU112" s="81">
        <v>1</v>
      </c>
      <c r="AV112" s="49">
        <v>1</v>
      </c>
      <c r="AW112" s="50">
        <v>2.6315789473684212</v>
      </c>
      <c r="AX112" s="49">
        <v>0</v>
      </c>
      <c r="AY112" s="50">
        <v>0</v>
      </c>
      <c r="AZ112" s="49">
        <v>0</v>
      </c>
      <c r="BA112" s="50">
        <v>0</v>
      </c>
      <c r="BB112" s="49">
        <v>14</v>
      </c>
      <c r="BC112" s="50">
        <v>36.8421052631579</v>
      </c>
      <c r="BD112" s="49">
        <v>38</v>
      </c>
      <c r="BE112" s="49"/>
      <c r="BF112" s="49"/>
      <c r="BG112" s="49"/>
      <c r="BH112" s="49"/>
      <c r="BI112" s="49"/>
      <c r="BJ112" s="49"/>
      <c r="BK112" s="115" t="s">
        <v>1154</v>
      </c>
      <c r="BL112" s="115" t="s">
        <v>1154</v>
      </c>
      <c r="BM112" s="115" t="s">
        <v>1281</v>
      </c>
      <c r="BN112" s="115" t="s">
        <v>1281</v>
      </c>
      <c r="BO112" s="2"/>
      <c r="BP112" s="3"/>
      <c r="BQ112" s="3"/>
      <c r="BR112" s="3"/>
      <c r="BS112" s="3"/>
    </row>
    <row r="113" spans="1:71" ht="15">
      <c r="A113" s="66" t="s">
        <v>331</v>
      </c>
      <c r="B113" s="67"/>
      <c r="C113" s="67"/>
      <c r="D113" s="68">
        <v>150</v>
      </c>
      <c r="E113" s="70"/>
      <c r="F113" s="103" t="str">
        <f>HYPERLINK("https://yt3.ggpht.com/ytc/AOPolaRwsFTTfAEyswy3t9Mq1NNXFtyeZwDmAGypW4mAOw=s88-c-k-c0x00ffffff-no-rj")</f>
        <v>https://yt3.ggpht.com/ytc/AOPolaRwsFTTfAEyswy3t9Mq1NNXFtyeZwDmAGypW4mAOw=s88-c-k-c0x00ffffff-no-rj</v>
      </c>
      <c r="G113" s="67"/>
      <c r="H113" s="71" t="s">
        <v>648</v>
      </c>
      <c r="I113" s="72"/>
      <c r="J113" s="72" t="s">
        <v>159</v>
      </c>
      <c r="K113" s="71" t="s">
        <v>648</v>
      </c>
      <c r="L113" s="75">
        <v>1</v>
      </c>
      <c r="M113" s="76">
        <v>3126.89453125</v>
      </c>
      <c r="N113" s="76">
        <v>204.85594177246094</v>
      </c>
      <c r="O113" s="77"/>
      <c r="P113" s="78"/>
      <c r="Q113" s="78"/>
      <c r="R113" s="89"/>
      <c r="S113" s="49">
        <v>0</v>
      </c>
      <c r="T113" s="49">
        <v>1</v>
      </c>
      <c r="U113" s="50">
        <v>0</v>
      </c>
      <c r="V113" s="50">
        <v>0.256952</v>
      </c>
      <c r="W113" s="50">
        <v>0.071778</v>
      </c>
      <c r="X113" s="50">
        <v>0.004811</v>
      </c>
      <c r="Y113" s="50">
        <v>0</v>
      </c>
      <c r="Z113" s="50">
        <v>0</v>
      </c>
      <c r="AA113" s="73">
        <v>113</v>
      </c>
      <c r="AB113" s="73"/>
      <c r="AC113" s="74"/>
      <c r="AD113" s="81" t="s">
        <v>648</v>
      </c>
      <c r="AE113" s="81"/>
      <c r="AF113" s="81"/>
      <c r="AG113" s="81"/>
      <c r="AH113" s="81"/>
      <c r="AI113" s="81" t="s">
        <v>985</v>
      </c>
      <c r="AJ113" s="85">
        <v>40778.787199074075</v>
      </c>
      <c r="AK113" s="83" t="str">
        <f>HYPERLINK("https://yt3.ggpht.com/ytc/AOPolaRwsFTTfAEyswy3t9Mq1NNXFtyeZwDmAGypW4mAOw=s88-c-k-c0x00ffffff-no-rj")</f>
        <v>https://yt3.ggpht.com/ytc/AOPolaRwsFTTfAEyswy3t9Mq1NNXFtyeZwDmAGypW4mAOw=s88-c-k-c0x00ffffff-no-rj</v>
      </c>
      <c r="AL113" s="81">
        <v>3362</v>
      </c>
      <c r="AM113" s="81">
        <v>0</v>
      </c>
      <c r="AN113" s="81">
        <v>19</v>
      </c>
      <c r="AO113" s="81" t="b">
        <v>0</v>
      </c>
      <c r="AP113" s="81">
        <v>20</v>
      </c>
      <c r="AQ113" s="81"/>
      <c r="AR113" s="81"/>
      <c r="AS113" s="81" t="s">
        <v>1057</v>
      </c>
      <c r="AT113" s="83" t="str">
        <f>HYPERLINK("https://www.youtube.com/channel/UCPnaVjGWd2ekpKUesS_wSuw")</f>
        <v>https://www.youtube.com/channel/UCPnaVjGWd2ekpKUesS_wSuw</v>
      </c>
      <c r="AU113" s="81">
        <v>1</v>
      </c>
      <c r="AV113" s="49">
        <v>4</v>
      </c>
      <c r="AW113" s="50">
        <v>8.16326530612245</v>
      </c>
      <c r="AX113" s="49">
        <v>1</v>
      </c>
      <c r="AY113" s="50">
        <v>2.0408163265306123</v>
      </c>
      <c r="AZ113" s="49">
        <v>0</v>
      </c>
      <c r="BA113" s="50">
        <v>0</v>
      </c>
      <c r="BB113" s="49">
        <v>17</v>
      </c>
      <c r="BC113" s="50">
        <v>34.69387755102041</v>
      </c>
      <c r="BD113" s="49">
        <v>49</v>
      </c>
      <c r="BE113" s="49"/>
      <c r="BF113" s="49"/>
      <c r="BG113" s="49"/>
      <c r="BH113" s="49"/>
      <c r="BI113" s="49"/>
      <c r="BJ113" s="49"/>
      <c r="BK113" s="115" t="s">
        <v>1155</v>
      </c>
      <c r="BL113" s="115" t="s">
        <v>1155</v>
      </c>
      <c r="BM113" s="115" t="s">
        <v>1282</v>
      </c>
      <c r="BN113" s="115" t="s">
        <v>1282</v>
      </c>
      <c r="BO113" s="2"/>
      <c r="BP113" s="3"/>
      <c r="BQ113" s="3"/>
      <c r="BR113" s="3"/>
      <c r="BS113" s="3"/>
    </row>
    <row r="114" spans="1:71" ht="15">
      <c r="A114" s="66" t="s">
        <v>332</v>
      </c>
      <c r="B114" s="67"/>
      <c r="C114" s="67"/>
      <c r="D114" s="68">
        <v>150</v>
      </c>
      <c r="E114" s="70"/>
      <c r="F114" s="103" t="str">
        <f>HYPERLINK("https://yt3.ggpht.com/ytc/AOPolaQoPquxT_V97oQBqsz9OW7gW7NT2uhd_8RcZ_emjQ=s88-c-k-c0x00ffffff-no-rj")</f>
        <v>https://yt3.ggpht.com/ytc/AOPolaQoPquxT_V97oQBqsz9OW7gW7NT2uhd_8RcZ_emjQ=s88-c-k-c0x00ffffff-no-rj</v>
      </c>
      <c r="G114" s="67"/>
      <c r="H114" s="71" t="s">
        <v>649</v>
      </c>
      <c r="I114" s="72"/>
      <c r="J114" s="72" t="s">
        <v>159</v>
      </c>
      <c r="K114" s="71" t="s">
        <v>649</v>
      </c>
      <c r="L114" s="75">
        <v>1</v>
      </c>
      <c r="M114" s="76">
        <v>3958.790771484375</v>
      </c>
      <c r="N114" s="76">
        <v>5854.69921875</v>
      </c>
      <c r="O114" s="77"/>
      <c r="P114" s="78"/>
      <c r="Q114" s="78"/>
      <c r="R114" s="89"/>
      <c r="S114" s="49">
        <v>0</v>
      </c>
      <c r="T114" s="49">
        <v>1</v>
      </c>
      <c r="U114" s="50">
        <v>0</v>
      </c>
      <c r="V114" s="50">
        <v>0.256952</v>
      </c>
      <c r="W114" s="50">
        <v>0.071778</v>
      </c>
      <c r="X114" s="50">
        <v>0.004811</v>
      </c>
      <c r="Y114" s="50">
        <v>0</v>
      </c>
      <c r="Z114" s="50">
        <v>0</v>
      </c>
      <c r="AA114" s="73">
        <v>114</v>
      </c>
      <c r="AB114" s="73"/>
      <c r="AC114" s="74"/>
      <c r="AD114" s="81" t="s">
        <v>649</v>
      </c>
      <c r="AE114" s="81"/>
      <c r="AF114" s="81"/>
      <c r="AG114" s="81"/>
      <c r="AH114" s="81"/>
      <c r="AI114" s="81" t="s">
        <v>986</v>
      </c>
      <c r="AJ114" s="85">
        <v>43268.85256944445</v>
      </c>
      <c r="AK114" s="83" t="str">
        <f>HYPERLINK("https://yt3.ggpht.com/ytc/AOPolaQoPquxT_V97oQBqsz9OW7gW7NT2uhd_8RcZ_emjQ=s88-c-k-c0x00ffffff-no-rj")</f>
        <v>https://yt3.ggpht.com/ytc/AOPolaQoPquxT_V97oQBqsz9OW7gW7NT2uhd_8RcZ_emjQ=s88-c-k-c0x00ffffff-no-rj</v>
      </c>
      <c r="AL114" s="81">
        <v>0</v>
      </c>
      <c r="AM114" s="81">
        <v>0</v>
      </c>
      <c r="AN114" s="81">
        <v>5</v>
      </c>
      <c r="AO114" s="81" t="b">
        <v>0</v>
      </c>
      <c r="AP114" s="81">
        <v>0</v>
      </c>
      <c r="AQ114" s="81"/>
      <c r="AR114" s="81"/>
      <c r="AS114" s="81" t="s">
        <v>1057</v>
      </c>
      <c r="AT114" s="83" t="str">
        <f>HYPERLINK("https://www.youtube.com/channel/UCLnBwkuJ2MEgNjpDe9sPD6w")</f>
        <v>https://www.youtube.com/channel/UCLnBwkuJ2MEgNjpDe9sPD6w</v>
      </c>
      <c r="AU114" s="81">
        <v>1</v>
      </c>
      <c r="AV114" s="49">
        <v>1</v>
      </c>
      <c r="AW114" s="50">
        <v>33.333333333333336</v>
      </c>
      <c r="AX114" s="49">
        <v>0</v>
      </c>
      <c r="AY114" s="50">
        <v>0</v>
      </c>
      <c r="AZ114" s="49">
        <v>0</v>
      </c>
      <c r="BA114" s="50">
        <v>0</v>
      </c>
      <c r="BB114" s="49">
        <v>1</v>
      </c>
      <c r="BC114" s="50">
        <v>33.333333333333336</v>
      </c>
      <c r="BD114" s="49">
        <v>3</v>
      </c>
      <c r="BE114" s="49"/>
      <c r="BF114" s="49"/>
      <c r="BG114" s="49"/>
      <c r="BH114" s="49"/>
      <c r="BI114" s="49"/>
      <c r="BJ114" s="49"/>
      <c r="BK114" s="115" t="s">
        <v>1156</v>
      </c>
      <c r="BL114" s="115" t="s">
        <v>1156</v>
      </c>
      <c r="BM114" s="115" t="s">
        <v>1283</v>
      </c>
      <c r="BN114" s="115" t="s">
        <v>1283</v>
      </c>
      <c r="BO114" s="2"/>
      <c r="BP114" s="3"/>
      <c r="BQ114" s="3"/>
      <c r="BR114" s="3"/>
      <c r="BS114" s="3"/>
    </row>
    <row r="115" spans="1:71" ht="15">
      <c r="A115" s="66" t="s">
        <v>333</v>
      </c>
      <c r="B115" s="67"/>
      <c r="C115" s="67"/>
      <c r="D115" s="68">
        <v>150</v>
      </c>
      <c r="E115" s="70"/>
      <c r="F115" s="103" t="str">
        <f>HYPERLINK("https://yt3.ggpht.com/ytc/AOPolaQAYXQUhFqAU16RuIDhC_5S1PM7KhCXo8zlMZ2-jA=s88-c-k-c0x00ffffff-no-rj")</f>
        <v>https://yt3.ggpht.com/ytc/AOPolaQAYXQUhFqAU16RuIDhC_5S1PM7KhCXo8zlMZ2-jA=s88-c-k-c0x00ffffff-no-rj</v>
      </c>
      <c r="G115" s="67"/>
      <c r="H115" s="71" t="s">
        <v>650</v>
      </c>
      <c r="I115" s="72"/>
      <c r="J115" s="72" t="s">
        <v>159</v>
      </c>
      <c r="K115" s="71" t="s">
        <v>650</v>
      </c>
      <c r="L115" s="75">
        <v>1</v>
      </c>
      <c r="M115" s="76">
        <v>3039.7353515625</v>
      </c>
      <c r="N115" s="76">
        <v>9761.021484375</v>
      </c>
      <c r="O115" s="77"/>
      <c r="P115" s="78"/>
      <c r="Q115" s="78"/>
      <c r="R115" s="89"/>
      <c r="S115" s="49">
        <v>0</v>
      </c>
      <c r="T115" s="49">
        <v>1</v>
      </c>
      <c r="U115" s="50">
        <v>0</v>
      </c>
      <c r="V115" s="50">
        <v>0.256952</v>
      </c>
      <c r="W115" s="50">
        <v>0.071778</v>
      </c>
      <c r="X115" s="50">
        <v>0.004811</v>
      </c>
      <c r="Y115" s="50">
        <v>0</v>
      </c>
      <c r="Z115" s="50">
        <v>0</v>
      </c>
      <c r="AA115" s="73">
        <v>115</v>
      </c>
      <c r="AB115" s="73"/>
      <c r="AC115" s="74"/>
      <c r="AD115" s="81" t="s">
        <v>650</v>
      </c>
      <c r="AE115" s="81"/>
      <c r="AF115" s="81"/>
      <c r="AG115" s="81"/>
      <c r="AH115" s="81"/>
      <c r="AI115" s="81" t="s">
        <v>987</v>
      </c>
      <c r="AJ115" s="85">
        <v>42239.3340625</v>
      </c>
      <c r="AK115" s="83" t="str">
        <f>HYPERLINK("https://yt3.ggpht.com/ytc/AOPolaQAYXQUhFqAU16RuIDhC_5S1PM7KhCXo8zlMZ2-jA=s88-c-k-c0x00ffffff-no-rj")</f>
        <v>https://yt3.ggpht.com/ytc/AOPolaQAYXQUhFqAU16RuIDhC_5S1PM7KhCXo8zlMZ2-jA=s88-c-k-c0x00ffffff-no-rj</v>
      </c>
      <c r="AL115" s="81">
        <v>0</v>
      </c>
      <c r="AM115" s="81">
        <v>0</v>
      </c>
      <c r="AN115" s="81">
        <v>1</v>
      </c>
      <c r="AO115" s="81" t="b">
        <v>0</v>
      </c>
      <c r="AP115" s="81">
        <v>0</v>
      </c>
      <c r="AQ115" s="81"/>
      <c r="AR115" s="81"/>
      <c r="AS115" s="81" t="s">
        <v>1057</v>
      </c>
      <c r="AT115" s="83" t="str">
        <f>HYPERLINK("https://www.youtube.com/channel/UCgETU6S0dQmJyWePbdoh4kA")</f>
        <v>https://www.youtube.com/channel/UCgETU6S0dQmJyWePbdoh4kA</v>
      </c>
      <c r="AU115" s="81">
        <v>1</v>
      </c>
      <c r="AV115" s="49">
        <v>0</v>
      </c>
      <c r="AW115" s="50">
        <v>0</v>
      </c>
      <c r="AX115" s="49">
        <v>0</v>
      </c>
      <c r="AY115" s="50">
        <v>0</v>
      </c>
      <c r="AZ115" s="49">
        <v>0</v>
      </c>
      <c r="BA115" s="50">
        <v>0</v>
      </c>
      <c r="BB115" s="49">
        <v>1</v>
      </c>
      <c r="BC115" s="50">
        <v>33.333333333333336</v>
      </c>
      <c r="BD115" s="49">
        <v>3</v>
      </c>
      <c r="BE115" s="49"/>
      <c r="BF115" s="49"/>
      <c r="BG115" s="49"/>
      <c r="BH115" s="49"/>
      <c r="BI115" s="49"/>
      <c r="BJ115" s="49"/>
      <c r="BK115" s="115" t="s">
        <v>1125</v>
      </c>
      <c r="BL115" s="115" t="s">
        <v>1125</v>
      </c>
      <c r="BM115" s="115" t="s">
        <v>1634</v>
      </c>
      <c r="BN115" s="115" t="s">
        <v>1634</v>
      </c>
      <c r="BO115" s="2"/>
      <c r="BP115" s="3"/>
      <c r="BQ115" s="3"/>
      <c r="BR115" s="3"/>
      <c r="BS115" s="3"/>
    </row>
    <row r="116" spans="1:71" ht="15">
      <c r="A116" s="66" t="s">
        <v>334</v>
      </c>
      <c r="B116" s="67"/>
      <c r="C116" s="67"/>
      <c r="D116" s="68">
        <v>150</v>
      </c>
      <c r="E116" s="70"/>
      <c r="F116" s="103" t="str">
        <f>HYPERLINK("https://yt3.ggpht.com/ytc/AOPolaQgugKZGg5JjJbbtn1Pjf8wY9wqxJB9HRpSy6U0630=s88-c-k-c0x00ffffff-no-rj")</f>
        <v>https://yt3.ggpht.com/ytc/AOPolaQgugKZGg5JjJbbtn1Pjf8wY9wqxJB9HRpSy6U0630=s88-c-k-c0x00ffffff-no-rj</v>
      </c>
      <c r="G116" s="67"/>
      <c r="H116" s="71" t="s">
        <v>651</v>
      </c>
      <c r="I116" s="72"/>
      <c r="J116" s="72" t="s">
        <v>159</v>
      </c>
      <c r="K116" s="71" t="s">
        <v>651</v>
      </c>
      <c r="L116" s="75">
        <v>1</v>
      </c>
      <c r="M116" s="76">
        <v>2731.6669921875</v>
      </c>
      <c r="N116" s="76">
        <v>7359.81591796875</v>
      </c>
      <c r="O116" s="77"/>
      <c r="P116" s="78"/>
      <c r="Q116" s="78"/>
      <c r="R116" s="89"/>
      <c r="S116" s="49">
        <v>0</v>
      </c>
      <c r="T116" s="49">
        <v>1</v>
      </c>
      <c r="U116" s="50">
        <v>0</v>
      </c>
      <c r="V116" s="50">
        <v>0.256952</v>
      </c>
      <c r="W116" s="50">
        <v>0.071778</v>
      </c>
      <c r="X116" s="50">
        <v>0.004811</v>
      </c>
      <c r="Y116" s="50">
        <v>0</v>
      </c>
      <c r="Z116" s="50">
        <v>0</v>
      </c>
      <c r="AA116" s="73">
        <v>116</v>
      </c>
      <c r="AB116" s="73"/>
      <c r="AC116" s="74"/>
      <c r="AD116" s="81" t="s">
        <v>651</v>
      </c>
      <c r="AE116" s="81"/>
      <c r="AF116" s="81"/>
      <c r="AG116" s="81"/>
      <c r="AH116" s="81"/>
      <c r="AI116" s="81" t="s">
        <v>988</v>
      </c>
      <c r="AJ116" s="85">
        <v>39087.98915509259</v>
      </c>
      <c r="AK116" s="83" t="str">
        <f>HYPERLINK("https://yt3.ggpht.com/ytc/AOPolaQgugKZGg5JjJbbtn1Pjf8wY9wqxJB9HRpSy6U0630=s88-c-k-c0x00ffffff-no-rj")</f>
        <v>https://yt3.ggpht.com/ytc/AOPolaQgugKZGg5JjJbbtn1Pjf8wY9wqxJB9HRpSy6U0630=s88-c-k-c0x00ffffff-no-rj</v>
      </c>
      <c r="AL116" s="81">
        <v>4066</v>
      </c>
      <c r="AM116" s="81">
        <v>0</v>
      </c>
      <c r="AN116" s="81">
        <v>128</v>
      </c>
      <c r="AO116" s="81" t="b">
        <v>0</v>
      </c>
      <c r="AP116" s="81">
        <v>5</v>
      </c>
      <c r="AQ116" s="81"/>
      <c r="AR116" s="81"/>
      <c r="AS116" s="81" t="s">
        <v>1057</v>
      </c>
      <c r="AT116" s="83" t="str">
        <f>HYPERLINK("https://www.youtube.com/channel/UCj8cTpfZlegheWKAFZ-M6pg")</f>
        <v>https://www.youtube.com/channel/UCj8cTpfZlegheWKAFZ-M6pg</v>
      </c>
      <c r="AU116" s="81">
        <v>1</v>
      </c>
      <c r="AV116" s="49">
        <v>1</v>
      </c>
      <c r="AW116" s="50">
        <v>1.4492753623188406</v>
      </c>
      <c r="AX116" s="49">
        <v>2</v>
      </c>
      <c r="AY116" s="50">
        <v>2.898550724637681</v>
      </c>
      <c r="AZ116" s="49">
        <v>0</v>
      </c>
      <c r="BA116" s="50">
        <v>0</v>
      </c>
      <c r="BB116" s="49">
        <v>16</v>
      </c>
      <c r="BC116" s="50">
        <v>23.18840579710145</v>
      </c>
      <c r="BD116" s="49">
        <v>69</v>
      </c>
      <c r="BE116" s="49"/>
      <c r="BF116" s="49"/>
      <c r="BG116" s="49"/>
      <c r="BH116" s="49"/>
      <c r="BI116" s="49"/>
      <c r="BJ116" s="49"/>
      <c r="BK116" s="115" t="s">
        <v>1157</v>
      </c>
      <c r="BL116" s="115" t="s">
        <v>1157</v>
      </c>
      <c r="BM116" s="115" t="s">
        <v>1284</v>
      </c>
      <c r="BN116" s="115" t="s">
        <v>1284</v>
      </c>
      <c r="BO116" s="2"/>
      <c r="BP116" s="3"/>
      <c r="BQ116" s="3"/>
      <c r="BR116" s="3"/>
      <c r="BS116" s="3"/>
    </row>
    <row r="117" spans="1:71" ht="15">
      <c r="A117" s="66" t="s">
        <v>335</v>
      </c>
      <c r="B117" s="67"/>
      <c r="C117" s="67"/>
      <c r="D117" s="68">
        <v>150</v>
      </c>
      <c r="E117" s="70"/>
      <c r="F117" s="103" t="str">
        <f>HYPERLINK("https://yt3.ggpht.com/ytc/AOPolaTnF5zPRVOKF56FjTUcjzL1M254DcrUHvRUAw=s88-c-k-c0x00ffffff-no-rj")</f>
        <v>https://yt3.ggpht.com/ytc/AOPolaTnF5zPRVOKF56FjTUcjzL1M254DcrUHvRUAw=s88-c-k-c0x00ffffff-no-rj</v>
      </c>
      <c r="G117" s="67"/>
      <c r="H117" s="71" t="s">
        <v>652</v>
      </c>
      <c r="I117" s="72"/>
      <c r="J117" s="72" t="s">
        <v>159</v>
      </c>
      <c r="K117" s="71" t="s">
        <v>652</v>
      </c>
      <c r="L117" s="75">
        <v>1</v>
      </c>
      <c r="M117" s="76">
        <v>3756.751220703125</v>
      </c>
      <c r="N117" s="76">
        <v>8345.9228515625</v>
      </c>
      <c r="O117" s="77"/>
      <c r="P117" s="78"/>
      <c r="Q117" s="78"/>
      <c r="R117" s="89"/>
      <c r="S117" s="49">
        <v>0</v>
      </c>
      <c r="T117" s="49">
        <v>1</v>
      </c>
      <c r="U117" s="50">
        <v>0</v>
      </c>
      <c r="V117" s="50">
        <v>0.256952</v>
      </c>
      <c r="W117" s="50">
        <v>0.071778</v>
      </c>
      <c r="X117" s="50">
        <v>0.004811</v>
      </c>
      <c r="Y117" s="50">
        <v>0</v>
      </c>
      <c r="Z117" s="50">
        <v>0</v>
      </c>
      <c r="AA117" s="73">
        <v>117</v>
      </c>
      <c r="AB117" s="73"/>
      <c r="AC117" s="74"/>
      <c r="AD117" s="81" t="s">
        <v>652</v>
      </c>
      <c r="AE117" s="81"/>
      <c r="AF117" s="81"/>
      <c r="AG117" s="81"/>
      <c r="AH117" s="81"/>
      <c r="AI117" s="81" t="s">
        <v>989</v>
      </c>
      <c r="AJ117" s="85">
        <v>41186.259675925925</v>
      </c>
      <c r="AK117" s="83" t="str">
        <f>HYPERLINK("https://yt3.ggpht.com/ytc/AOPolaTnF5zPRVOKF56FjTUcjzL1M254DcrUHvRUAw=s88-c-k-c0x00ffffff-no-rj")</f>
        <v>https://yt3.ggpht.com/ytc/AOPolaTnF5zPRVOKF56FjTUcjzL1M254DcrUHvRUAw=s88-c-k-c0x00ffffff-no-rj</v>
      </c>
      <c r="AL117" s="81">
        <v>399</v>
      </c>
      <c r="AM117" s="81">
        <v>0</v>
      </c>
      <c r="AN117" s="81">
        <v>10</v>
      </c>
      <c r="AO117" s="81" t="b">
        <v>0</v>
      </c>
      <c r="AP117" s="81">
        <v>2</v>
      </c>
      <c r="AQ117" s="81"/>
      <c r="AR117" s="81"/>
      <c r="AS117" s="81" t="s">
        <v>1057</v>
      </c>
      <c r="AT117" s="83" t="str">
        <f>HYPERLINK("https://www.youtube.com/channel/UCjtvdNVtO1Uqs_onUo3qUSw")</f>
        <v>https://www.youtube.com/channel/UCjtvdNVtO1Uqs_onUo3qUSw</v>
      </c>
      <c r="AU117" s="81">
        <v>1</v>
      </c>
      <c r="AV117" s="49">
        <v>1</v>
      </c>
      <c r="AW117" s="50">
        <v>6.25</v>
      </c>
      <c r="AX117" s="49">
        <v>0</v>
      </c>
      <c r="AY117" s="50">
        <v>0</v>
      </c>
      <c r="AZ117" s="49">
        <v>0</v>
      </c>
      <c r="BA117" s="50">
        <v>0</v>
      </c>
      <c r="BB117" s="49">
        <v>7</v>
      </c>
      <c r="BC117" s="50">
        <v>43.75</v>
      </c>
      <c r="BD117" s="49">
        <v>16</v>
      </c>
      <c r="BE117" s="49"/>
      <c r="BF117" s="49"/>
      <c r="BG117" s="49"/>
      <c r="BH117" s="49"/>
      <c r="BI117" s="49"/>
      <c r="BJ117" s="49"/>
      <c r="BK117" s="115" t="s">
        <v>1158</v>
      </c>
      <c r="BL117" s="115" t="s">
        <v>1158</v>
      </c>
      <c r="BM117" s="115" t="s">
        <v>1285</v>
      </c>
      <c r="BN117" s="115" t="s">
        <v>1285</v>
      </c>
      <c r="BO117" s="2"/>
      <c r="BP117" s="3"/>
      <c r="BQ117" s="3"/>
      <c r="BR117" s="3"/>
      <c r="BS117" s="3"/>
    </row>
    <row r="118" spans="1:71" ht="15">
      <c r="A118" s="66" t="s">
        <v>336</v>
      </c>
      <c r="B118" s="67"/>
      <c r="C118" s="67"/>
      <c r="D118" s="68">
        <v>150</v>
      </c>
      <c r="E118" s="70"/>
      <c r="F118" s="103" t="str">
        <f>HYPERLINK("https://yt3.ggpht.com/ytc/AOPolaQptKpphZS2TognYxbrOm08WCXZJ5ulTSAMLA=s88-c-k-c0x00ffffff-no-rj")</f>
        <v>https://yt3.ggpht.com/ytc/AOPolaQptKpphZS2TognYxbrOm08WCXZJ5ulTSAMLA=s88-c-k-c0x00ffffff-no-rj</v>
      </c>
      <c r="G118" s="67"/>
      <c r="H118" s="71" t="s">
        <v>653</v>
      </c>
      <c r="I118" s="72"/>
      <c r="J118" s="72" t="s">
        <v>159</v>
      </c>
      <c r="K118" s="71" t="s">
        <v>653</v>
      </c>
      <c r="L118" s="75">
        <v>1</v>
      </c>
      <c r="M118" s="76">
        <v>3364.014892578125</v>
      </c>
      <c r="N118" s="76">
        <v>1571.285888671875</v>
      </c>
      <c r="O118" s="77"/>
      <c r="P118" s="78"/>
      <c r="Q118" s="78"/>
      <c r="R118" s="89"/>
      <c r="S118" s="49">
        <v>0</v>
      </c>
      <c r="T118" s="49">
        <v>1</v>
      </c>
      <c r="U118" s="50">
        <v>0</v>
      </c>
      <c r="V118" s="50">
        <v>0.256952</v>
      </c>
      <c r="W118" s="50">
        <v>0.071778</v>
      </c>
      <c r="X118" s="50">
        <v>0.004811</v>
      </c>
      <c r="Y118" s="50">
        <v>0</v>
      </c>
      <c r="Z118" s="50">
        <v>0</v>
      </c>
      <c r="AA118" s="73">
        <v>118</v>
      </c>
      <c r="AB118" s="73"/>
      <c r="AC118" s="74"/>
      <c r="AD118" s="81" t="s">
        <v>653</v>
      </c>
      <c r="AE118" s="81"/>
      <c r="AF118" s="81"/>
      <c r="AG118" s="81"/>
      <c r="AH118" s="81"/>
      <c r="AI118" s="81" t="s">
        <v>990</v>
      </c>
      <c r="AJ118" s="85">
        <v>41845.530381944445</v>
      </c>
      <c r="AK118" s="83" t="str">
        <f>HYPERLINK("https://yt3.ggpht.com/ytc/AOPolaQptKpphZS2TognYxbrOm08WCXZJ5ulTSAMLA=s88-c-k-c0x00ffffff-no-rj")</f>
        <v>https://yt3.ggpht.com/ytc/AOPolaQptKpphZS2TognYxbrOm08WCXZJ5ulTSAMLA=s88-c-k-c0x00ffffff-no-rj</v>
      </c>
      <c r="AL118" s="81">
        <v>0</v>
      </c>
      <c r="AM118" s="81">
        <v>0</v>
      </c>
      <c r="AN118" s="81">
        <v>0</v>
      </c>
      <c r="AO118" s="81" t="b">
        <v>0</v>
      </c>
      <c r="AP118" s="81">
        <v>0</v>
      </c>
      <c r="AQ118" s="81"/>
      <c r="AR118" s="81"/>
      <c r="AS118" s="81" t="s">
        <v>1057</v>
      </c>
      <c r="AT118" s="83" t="str">
        <f>HYPERLINK("https://www.youtube.com/channel/UCumqm7IRDZvBuJWMwt5x-xw")</f>
        <v>https://www.youtube.com/channel/UCumqm7IRDZvBuJWMwt5x-xw</v>
      </c>
      <c r="AU118" s="81">
        <v>1</v>
      </c>
      <c r="AV118" s="49">
        <v>1</v>
      </c>
      <c r="AW118" s="50">
        <v>50</v>
      </c>
      <c r="AX118" s="49">
        <v>0</v>
      </c>
      <c r="AY118" s="50">
        <v>0</v>
      </c>
      <c r="AZ118" s="49">
        <v>0</v>
      </c>
      <c r="BA118" s="50">
        <v>0</v>
      </c>
      <c r="BB118" s="49">
        <v>1</v>
      </c>
      <c r="BC118" s="50">
        <v>50</v>
      </c>
      <c r="BD118" s="49">
        <v>2</v>
      </c>
      <c r="BE118" s="49"/>
      <c r="BF118" s="49"/>
      <c r="BG118" s="49"/>
      <c r="BH118" s="49"/>
      <c r="BI118" s="49"/>
      <c r="BJ118" s="49"/>
      <c r="BK118" s="115" t="s">
        <v>1159</v>
      </c>
      <c r="BL118" s="115" t="s">
        <v>1159</v>
      </c>
      <c r="BM118" s="115" t="s">
        <v>1286</v>
      </c>
      <c r="BN118" s="115" t="s">
        <v>1286</v>
      </c>
      <c r="BO118" s="2"/>
      <c r="BP118" s="3"/>
      <c r="BQ118" s="3"/>
      <c r="BR118" s="3"/>
      <c r="BS118" s="3"/>
    </row>
    <row r="119" spans="1:71" ht="15">
      <c r="A119" s="66" t="s">
        <v>337</v>
      </c>
      <c r="B119" s="67"/>
      <c r="C119" s="67"/>
      <c r="D119" s="68">
        <v>150</v>
      </c>
      <c r="E119" s="70"/>
      <c r="F119" s="103" t="str">
        <f>HYPERLINK("https://yt3.ggpht.com/ytc/AOPolaTVD33jik3Lxs06IgSoZhyTUPjQ3M97RIW2s8dmKg=s88-c-k-c0x00ffffff-no-rj")</f>
        <v>https://yt3.ggpht.com/ytc/AOPolaTVD33jik3Lxs06IgSoZhyTUPjQ3M97RIW2s8dmKg=s88-c-k-c0x00ffffff-no-rj</v>
      </c>
      <c r="G119" s="67"/>
      <c r="H119" s="71" t="s">
        <v>654</v>
      </c>
      <c r="I119" s="72"/>
      <c r="J119" s="72" t="s">
        <v>159</v>
      </c>
      <c r="K119" s="71" t="s">
        <v>654</v>
      </c>
      <c r="L119" s="75">
        <v>1</v>
      </c>
      <c r="M119" s="76">
        <v>1313.4471435546875</v>
      </c>
      <c r="N119" s="76">
        <v>6357.0107421875</v>
      </c>
      <c r="O119" s="77"/>
      <c r="P119" s="78"/>
      <c r="Q119" s="78"/>
      <c r="R119" s="89"/>
      <c r="S119" s="49">
        <v>0</v>
      </c>
      <c r="T119" s="49">
        <v>1</v>
      </c>
      <c r="U119" s="50">
        <v>0</v>
      </c>
      <c r="V119" s="50">
        <v>0.256952</v>
      </c>
      <c r="W119" s="50">
        <v>0.071778</v>
      </c>
      <c r="X119" s="50">
        <v>0.004811</v>
      </c>
      <c r="Y119" s="50">
        <v>0</v>
      </c>
      <c r="Z119" s="50">
        <v>0</v>
      </c>
      <c r="AA119" s="73">
        <v>119</v>
      </c>
      <c r="AB119" s="73"/>
      <c r="AC119" s="74"/>
      <c r="AD119" s="81" t="s">
        <v>654</v>
      </c>
      <c r="AE119" s="81"/>
      <c r="AF119" s="81"/>
      <c r="AG119" s="81"/>
      <c r="AH119" s="81"/>
      <c r="AI119" s="81" t="s">
        <v>991</v>
      </c>
      <c r="AJ119" s="85">
        <v>41661.423842592594</v>
      </c>
      <c r="AK119" s="83" t="str">
        <f>HYPERLINK("https://yt3.ggpht.com/ytc/AOPolaTVD33jik3Lxs06IgSoZhyTUPjQ3M97RIW2s8dmKg=s88-c-k-c0x00ffffff-no-rj")</f>
        <v>https://yt3.ggpht.com/ytc/AOPolaTVD33jik3Lxs06IgSoZhyTUPjQ3M97RIW2s8dmKg=s88-c-k-c0x00ffffff-no-rj</v>
      </c>
      <c r="AL119" s="81">
        <v>0</v>
      </c>
      <c r="AM119" s="81">
        <v>0</v>
      </c>
      <c r="AN119" s="81">
        <v>9</v>
      </c>
      <c r="AO119" s="81" t="b">
        <v>0</v>
      </c>
      <c r="AP119" s="81">
        <v>0</v>
      </c>
      <c r="AQ119" s="81"/>
      <c r="AR119" s="81"/>
      <c r="AS119" s="81" t="s">
        <v>1057</v>
      </c>
      <c r="AT119" s="83" t="str">
        <f>HYPERLINK("https://www.youtube.com/channel/UCqmzrUyTOODhZZny-yyYxWg")</f>
        <v>https://www.youtube.com/channel/UCqmzrUyTOODhZZny-yyYxWg</v>
      </c>
      <c r="AU119" s="81">
        <v>1</v>
      </c>
      <c r="AV119" s="49">
        <v>1</v>
      </c>
      <c r="AW119" s="50">
        <v>7.6923076923076925</v>
      </c>
      <c r="AX119" s="49">
        <v>0</v>
      </c>
      <c r="AY119" s="50">
        <v>0</v>
      </c>
      <c r="AZ119" s="49">
        <v>0</v>
      </c>
      <c r="BA119" s="50">
        <v>0</v>
      </c>
      <c r="BB119" s="49">
        <v>3</v>
      </c>
      <c r="BC119" s="50">
        <v>23.076923076923077</v>
      </c>
      <c r="BD119" s="49">
        <v>13</v>
      </c>
      <c r="BE119" s="49"/>
      <c r="BF119" s="49"/>
      <c r="BG119" s="49"/>
      <c r="BH119" s="49"/>
      <c r="BI119" s="49"/>
      <c r="BJ119" s="49"/>
      <c r="BK119" s="115" t="s">
        <v>1160</v>
      </c>
      <c r="BL119" s="115" t="s">
        <v>1160</v>
      </c>
      <c r="BM119" s="115" t="s">
        <v>1287</v>
      </c>
      <c r="BN119" s="115" t="s">
        <v>1287</v>
      </c>
      <c r="BO119" s="2"/>
      <c r="BP119" s="3"/>
      <c r="BQ119" s="3"/>
      <c r="BR119" s="3"/>
      <c r="BS119" s="3"/>
    </row>
    <row r="120" spans="1:71" ht="15">
      <c r="A120" s="66" t="s">
        <v>338</v>
      </c>
      <c r="B120" s="67"/>
      <c r="C120" s="67"/>
      <c r="D120" s="68">
        <v>150</v>
      </c>
      <c r="E120" s="70"/>
      <c r="F120" s="103" t="str">
        <f>HYPERLINK("https://yt3.ggpht.com/ytc/AOPolaR3aIpeRURZsidwdc99q3wfpNeAo3F_E-I8M1ua8Zw=s88-c-k-c0x00ffffff-no-rj")</f>
        <v>https://yt3.ggpht.com/ytc/AOPolaR3aIpeRURZsidwdc99q3wfpNeAo3F_E-I8M1ua8Zw=s88-c-k-c0x00ffffff-no-rj</v>
      </c>
      <c r="G120" s="67"/>
      <c r="H120" s="71" t="s">
        <v>655</v>
      </c>
      <c r="I120" s="72"/>
      <c r="J120" s="72" t="s">
        <v>159</v>
      </c>
      <c r="K120" s="71" t="s">
        <v>655</v>
      </c>
      <c r="L120" s="75">
        <v>1</v>
      </c>
      <c r="M120" s="76">
        <v>935.2368774414062</v>
      </c>
      <c r="N120" s="76">
        <v>7188.4921875</v>
      </c>
      <c r="O120" s="77"/>
      <c r="P120" s="78"/>
      <c r="Q120" s="78"/>
      <c r="R120" s="89"/>
      <c r="S120" s="49">
        <v>0</v>
      </c>
      <c r="T120" s="49">
        <v>1</v>
      </c>
      <c r="U120" s="50">
        <v>0</v>
      </c>
      <c r="V120" s="50">
        <v>0.256952</v>
      </c>
      <c r="W120" s="50">
        <v>0.071778</v>
      </c>
      <c r="X120" s="50">
        <v>0.004811</v>
      </c>
      <c r="Y120" s="50">
        <v>0</v>
      </c>
      <c r="Z120" s="50">
        <v>0</v>
      </c>
      <c r="AA120" s="73">
        <v>120</v>
      </c>
      <c r="AB120" s="73"/>
      <c r="AC120" s="74"/>
      <c r="AD120" s="81" t="s">
        <v>655</v>
      </c>
      <c r="AE120" s="81" t="s">
        <v>842</v>
      </c>
      <c r="AF120" s="81"/>
      <c r="AG120" s="81"/>
      <c r="AH120" s="81"/>
      <c r="AI120" s="81" t="s">
        <v>992</v>
      </c>
      <c r="AJ120" s="85">
        <v>40756.1665625</v>
      </c>
      <c r="AK120" s="83" t="str">
        <f>HYPERLINK("https://yt3.ggpht.com/ytc/AOPolaR3aIpeRURZsidwdc99q3wfpNeAo3F_E-I8M1ua8Zw=s88-c-k-c0x00ffffff-no-rj")</f>
        <v>https://yt3.ggpht.com/ytc/AOPolaR3aIpeRURZsidwdc99q3wfpNeAo3F_E-I8M1ua8Zw=s88-c-k-c0x00ffffff-no-rj</v>
      </c>
      <c r="AL120" s="81">
        <v>11059</v>
      </c>
      <c r="AM120" s="81">
        <v>0</v>
      </c>
      <c r="AN120" s="81">
        <v>63</v>
      </c>
      <c r="AO120" s="81" t="b">
        <v>0</v>
      </c>
      <c r="AP120" s="81">
        <v>1007</v>
      </c>
      <c r="AQ120" s="81"/>
      <c r="AR120" s="81"/>
      <c r="AS120" s="81" t="s">
        <v>1057</v>
      </c>
      <c r="AT120" s="83" t="str">
        <f>HYPERLINK("https://www.youtube.com/channel/UCtHt_3e9Et7a0OzBsOCd_Jg")</f>
        <v>https://www.youtube.com/channel/UCtHt_3e9Et7a0OzBsOCd_Jg</v>
      </c>
      <c r="AU120" s="81">
        <v>1</v>
      </c>
      <c r="AV120" s="49">
        <v>1</v>
      </c>
      <c r="AW120" s="50">
        <v>20</v>
      </c>
      <c r="AX120" s="49">
        <v>0</v>
      </c>
      <c r="AY120" s="50">
        <v>0</v>
      </c>
      <c r="AZ120" s="49">
        <v>0</v>
      </c>
      <c r="BA120" s="50">
        <v>0</v>
      </c>
      <c r="BB120" s="49">
        <v>0</v>
      </c>
      <c r="BC120" s="50">
        <v>0</v>
      </c>
      <c r="BD120" s="49">
        <v>5</v>
      </c>
      <c r="BE120" s="49"/>
      <c r="BF120" s="49"/>
      <c r="BG120" s="49"/>
      <c r="BH120" s="49"/>
      <c r="BI120" s="49"/>
      <c r="BJ120" s="49"/>
      <c r="BK120" s="115" t="s">
        <v>1161</v>
      </c>
      <c r="BL120" s="115" t="s">
        <v>1161</v>
      </c>
      <c r="BM120" s="115" t="s">
        <v>1634</v>
      </c>
      <c r="BN120" s="115" t="s">
        <v>1634</v>
      </c>
      <c r="BO120" s="2"/>
      <c r="BP120" s="3"/>
      <c r="BQ120" s="3"/>
      <c r="BR120" s="3"/>
      <c r="BS120" s="3"/>
    </row>
    <row r="121" spans="1:71" ht="15">
      <c r="A121" s="66" t="s">
        <v>339</v>
      </c>
      <c r="B121" s="67"/>
      <c r="C121" s="67"/>
      <c r="D121" s="68">
        <v>150</v>
      </c>
      <c r="E121" s="70"/>
      <c r="F121" s="103" t="str">
        <f>HYPERLINK("https://yt3.ggpht.com/ytc/AOPolaTWQ2dC89_dIxn_oUAi2Z_ow_EIVSMm33hJ9w=s88-c-k-c0x00ffffff-no-rj")</f>
        <v>https://yt3.ggpht.com/ytc/AOPolaTWQ2dC89_dIxn_oUAi2Z_ow_EIVSMm33hJ9w=s88-c-k-c0x00ffffff-no-rj</v>
      </c>
      <c r="G121" s="67"/>
      <c r="H121" s="71" t="s">
        <v>656</v>
      </c>
      <c r="I121" s="72"/>
      <c r="J121" s="72" t="s">
        <v>159</v>
      </c>
      <c r="K121" s="71" t="s">
        <v>656</v>
      </c>
      <c r="L121" s="75">
        <v>1</v>
      </c>
      <c r="M121" s="76">
        <v>3458.46484375</v>
      </c>
      <c r="N121" s="76">
        <v>465.58416748046875</v>
      </c>
      <c r="O121" s="77"/>
      <c r="P121" s="78"/>
      <c r="Q121" s="78"/>
      <c r="R121" s="89"/>
      <c r="S121" s="49">
        <v>0</v>
      </c>
      <c r="T121" s="49">
        <v>1</v>
      </c>
      <c r="U121" s="50">
        <v>0</v>
      </c>
      <c r="V121" s="50">
        <v>0.256952</v>
      </c>
      <c r="W121" s="50">
        <v>0.071778</v>
      </c>
      <c r="X121" s="50">
        <v>0.004811</v>
      </c>
      <c r="Y121" s="50">
        <v>0</v>
      </c>
      <c r="Z121" s="50">
        <v>0</v>
      </c>
      <c r="AA121" s="73">
        <v>121</v>
      </c>
      <c r="AB121" s="73"/>
      <c r="AC121" s="74"/>
      <c r="AD121" s="81" t="s">
        <v>656</v>
      </c>
      <c r="AE121" s="81"/>
      <c r="AF121" s="81"/>
      <c r="AG121" s="81"/>
      <c r="AH121" s="81"/>
      <c r="AI121" s="81" t="s">
        <v>993</v>
      </c>
      <c r="AJ121" s="85">
        <v>43472.92612268519</v>
      </c>
      <c r="AK121" s="83" t="str">
        <f>HYPERLINK("https://yt3.ggpht.com/ytc/AOPolaTWQ2dC89_dIxn_oUAi2Z_ow_EIVSMm33hJ9w=s88-c-k-c0x00ffffff-no-rj")</f>
        <v>https://yt3.ggpht.com/ytc/AOPolaTWQ2dC89_dIxn_oUAi2Z_ow_EIVSMm33hJ9w=s88-c-k-c0x00ffffff-no-rj</v>
      </c>
      <c r="AL121" s="81">
        <v>0</v>
      </c>
      <c r="AM121" s="81">
        <v>0</v>
      </c>
      <c r="AN121" s="81">
        <v>2</v>
      </c>
      <c r="AO121" s="81" t="b">
        <v>0</v>
      </c>
      <c r="AP121" s="81">
        <v>0</v>
      </c>
      <c r="AQ121" s="81"/>
      <c r="AR121" s="81"/>
      <c r="AS121" s="81" t="s">
        <v>1057</v>
      </c>
      <c r="AT121" s="83" t="str">
        <f>HYPERLINK("https://www.youtube.com/channel/UCdl-KU6TwCmyK8wkyNLVF_w")</f>
        <v>https://www.youtube.com/channel/UCdl-KU6TwCmyK8wkyNLVF_w</v>
      </c>
      <c r="AU121" s="81">
        <v>1</v>
      </c>
      <c r="AV121" s="49">
        <v>1</v>
      </c>
      <c r="AW121" s="50">
        <v>33.333333333333336</v>
      </c>
      <c r="AX121" s="49">
        <v>0</v>
      </c>
      <c r="AY121" s="50">
        <v>0</v>
      </c>
      <c r="AZ121" s="49">
        <v>0</v>
      </c>
      <c r="BA121" s="50">
        <v>0</v>
      </c>
      <c r="BB121" s="49">
        <v>0</v>
      </c>
      <c r="BC121" s="50">
        <v>0</v>
      </c>
      <c r="BD121" s="49">
        <v>3</v>
      </c>
      <c r="BE121" s="49"/>
      <c r="BF121" s="49"/>
      <c r="BG121" s="49"/>
      <c r="BH121" s="49"/>
      <c r="BI121" s="49"/>
      <c r="BJ121" s="49"/>
      <c r="BK121" s="115" t="s">
        <v>1162</v>
      </c>
      <c r="BL121" s="115" t="s">
        <v>1162</v>
      </c>
      <c r="BM121" s="115" t="s">
        <v>1634</v>
      </c>
      <c r="BN121" s="115" t="s">
        <v>1634</v>
      </c>
      <c r="BO121" s="2"/>
      <c r="BP121" s="3"/>
      <c r="BQ121" s="3"/>
      <c r="BR121" s="3"/>
      <c r="BS121" s="3"/>
    </row>
    <row r="122" spans="1:71" ht="15">
      <c r="A122" s="66" t="s">
        <v>340</v>
      </c>
      <c r="B122" s="67"/>
      <c r="C122" s="67"/>
      <c r="D122" s="68">
        <v>150</v>
      </c>
      <c r="E122" s="70"/>
      <c r="F122" s="103" t="str">
        <f>HYPERLINK("https://yt3.ggpht.com/ytc/AOPolaSzB7ZFoayB-1W8YNmABXDaFiid7A8kcBoDwA=s88-c-k-c0x00ffffff-no-rj")</f>
        <v>https://yt3.ggpht.com/ytc/AOPolaSzB7ZFoayB-1W8YNmABXDaFiid7A8kcBoDwA=s88-c-k-c0x00ffffff-no-rj</v>
      </c>
      <c r="G122" s="67"/>
      <c r="H122" s="71" t="s">
        <v>657</v>
      </c>
      <c r="I122" s="72"/>
      <c r="J122" s="72" t="s">
        <v>159</v>
      </c>
      <c r="K122" s="71" t="s">
        <v>657</v>
      </c>
      <c r="L122" s="75">
        <v>1</v>
      </c>
      <c r="M122" s="76">
        <v>3749.0908203125</v>
      </c>
      <c r="N122" s="76">
        <v>9299.1455078125</v>
      </c>
      <c r="O122" s="77"/>
      <c r="P122" s="78"/>
      <c r="Q122" s="78"/>
      <c r="R122" s="89"/>
      <c r="S122" s="49">
        <v>0</v>
      </c>
      <c r="T122" s="49">
        <v>1</v>
      </c>
      <c r="U122" s="50">
        <v>0</v>
      </c>
      <c r="V122" s="50">
        <v>0.256952</v>
      </c>
      <c r="W122" s="50">
        <v>0.071778</v>
      </c>
      <c r="X122" s="50">
        <v>0.004811</v>
      </c>
      <c r="Y122" s="50">
        <v>0</v>
      </c>
      <c r="Z122" s="50">
        <v>0</v>
      </c>
      <c r="AA122" s="73">
        <v>122</v>
      </c>
      <c r="AB122" s="73"/>
      <c r="AC122" s="74"/>
      <c r="AD122" s="81" t="s">
        <v>657</v>
      </c>
      <c r="AE122" s="81"/>
      <c r="AF122" s="81"/>
      <c r="AG122" s="81"/>
      <c r="AH122" s="81"/>
      <c r="AI122" s="81" t="s">
        <v>994</v>
      </c>
      <c r="AJ122" s="85">
        <v>41804.179814814815</v>
      </c>
      <c r="AK122" s="83" t="str">
        <f>HYPERLINK("https://yt3.ggpht.com/ytc/AOPolaSzB7ZFoayB-1W8YNmABXDaFiid7A8kcBoDwA=s88-c-k-c0x00ffffff-no-rj")</f>
        <v>https://yt3.ggpht.com/ytc/AOPolaSzB7ZFoayB-1W8YNmABXDaFiid7A8kcBoDwA=s88-c-k-c0x00ffffff-no-rj</v>
      </c>
      <c r="AL122" s="81">
        <v>0</v>
      </c>
      <c r="AM122" s="81">
        <v>0</v>
      </c>
      <c r="AN122" s="81">
        <v>1</v>
      </c>
      <c r="AO122" s="81" t="b">
        <v>0</v>
      </c>
      <c r="AP122" s="81">
        <v>0</v>
      </c>
      <c r="AQ122" s="81"/>
      <c r="AR122" s="81"/>
      <c r="AS122" s="81" t="s">
        <v>1057</v>
      </c>
      <c r="AT122" s="83" t="str">
        <f>HYPERLINK("https://www.youtube.com/channel/UC8W62yD4KJ8tF8U7zy55d_g")</f>
        <v>https://www.youtube.com/channel/UC8W62yD4KJ8tF8U7zy55d_g</v>
      </c>
      <c r="AU122" s="81">
        <v>1</v>
      </c>
      <c r="AV122" s="49">
        <v>1</v>
      </c>
      <c r="AW122" s="50">
        <v>14.285714285714286</v>
      </c>
      <c r="AX122" s="49">
        <v>0</v>
      </c>
      <c r="AY122" s="50">
        <v>0</v>
      </c>
      <c r="AZ122" s="49">
        <v>0</v>
      </c>
      <c r="BA122" s="50">
        <v>0</v>
      </c>
      <c r="BB122" s="49">
        <v>1</v>
      </c>
      <c r="BC122" s="50">
        <v>14.285714285714286</v>
      </c>
      <c r="BD122" s="49">
        <v>7</v>
      </c>
      <c r="BE122" s="49"/>
      <c r="BF122" s="49"/>
      <c r="BG122" s="49"/>
      <c r="BH122" s="49"/>
      <c r="BI122" s="49"/>
      <c r="BJ122" s="49"/>
      <c r="BK122" s="115" t="s">
        <v>1163</v>
      </c>
      <c r="BL122" s="115" t="s">
        <v>1163</v>
      </c>
      <c r="BM122" s="115" t="s">
        <v>1288</v>
      </c>
      <c r="BN122" s="115" t="s">
        <v>1288</v>
      </c>
      <c r="BO122" s="2"/>
      <c r="BP122" s="3"/>
      <c r="BQ122" s="3"/>
      <c r="BR122" s="3"/>
      <c r="BS122" s="3"/>
    </row>
    <row r="123" spans="1:71" ht="15">
      <c r="A123" s="66" t="s">
        <v>341</v>
      </c>
      <c r="B123" s="67"/>
      <c r="C123" s="67"/>
      <c r="D123" s="68">
        <v>150</v>
      </c>
      <c r="E123" s="70"/>
      <c r="F123" s="103" t="str">
        <f>HYPERLINK("https://yt3.ggpht.com/ytc/AOPolaSBGHOLnAi5n0VuTSkEFojq5h1fDg8ZM8tTxaLFoA=s88-c-k-c0x00ffffff-no-rj")</f>
        <v>https://yt3.ggpht.com/ytc/AOPolaSBGHOLnAi5n0VuTSkEFojq5h1fDg8ZM8tTxaLFoA=s88-c-k-c0x00ffffff-no-rj</v>
      </c>
      <c r="G123" s="67"/>
      <c r="H123" s="71" t="s">
        <v>658</v>
      </c>
      <c r="I123" s="72"/>
      <c r="J123" s="72" t="s">
        <v>159</v>
      </c>
      <c r="K123" s="71" t="s">
        <v>658</v>
      </c>
      <c r="L123" s="75">
        <v>1</v>
      </c>
      <c r="M123" s="76">
        <v>2790.240478515625</v>
      </c>
      <c r="N123" s="76">
        <v>2222.33251953125</v>
      </c>
      <c r="O123" s="77"/>
      <c r="P123" s="78"/>
      <c r="Q123" s="78"/>
      <c r="R123" s="89"/>
      <c r="S123" s="49">
        <v>0</v>
      </c>
      <c r="T123" s="49">
        <v>1</v>
      </c>
      <c r="U123" s="50">
        <v>0</v>
      </c>
      <c r="V123" s="50">
        <v>0.256952</v>
      </c>
      <c r="W123" s="50">
        <v>0.071778</v>
      </c>
      <c r="X123" s="50">
        <v>0.004811</v>
      </c>
      <c r="Y123" s="50">
        <v>0</v>
      </c>
      <c r="Z123" s="50">
        <v>0</v>
      </c>
      <c r="AA123" s="73">
        <v>123</v>
      </c>
      <c r="AB123" s="73"/>
      <c r="AC123" s="74"/>
      <c r="AD123" s="81" t="s">
        <v>658</v>
      </c>
      <c r="AE123" s="81" t="s">
        <v>843</v>
      </c>
      <c r="AF123" s="81"/>
      <c r="AG123" s="81"/>
      <c r="AH123" s="81"/>
      <c r="AI123" s="81" t="s">
        <v>995</v>
      </c>
      <c r="AJ123" s="85">
        <v>43001.97435185185</v>
      </c>
      <c r="AK123" s="83" t="str">
        <f>HYPERLINK("https://yt3.ggpht.com/ytc/AOPolaSBGHOLnAi5n0VuTSkEFojq5h1fDg8ZM8tTxaLFoA=s88-c-k-c0x00ffffff-no-rj")</f>
        <v>https://yt3.ggpht.com/ytc/AOPolaSBGHOLnAi5n0VuTSkEFojq5h1fDg8ZM8tTxaLFoA=s88-c-k-c0x00ffffff-no-rj</v>
      </c>
      <c r="AL123" s="81">
        <v>7</v>
      </c>
      <c r="AM123" s="81">
        <v>0</v>
      </c>
      <c r="AN123" s="81">
        <v>60</v>
      </c>
      <c r="AO123" s="81" t="b">
        <v>0</v>
      </c>
      <c r="AP123" s="81">
        <v>3</v>
      </c>
      <c r="AQ123" s="81"/>
      <c r="AR123" s="81"/>
      <c r="AS123" s="81" t="s">
        <v>1057</v>
      </c>
      <c r="AT123" s="83" t="str">
        <f>HYPERLINK("https://www.youtube.com/channel/UCeRXGLLtH8R3jiwTx4QMePQ")</f>
        <v>https://www.youtube.com/channel/UCeRXGLLtH8R3jiwTx4QMePQ</v>
      </c>
      <c r="AU123" s="81">
        <v>1</v>
      </c>
      <c r="AV123" s="49">
        <v>1</v>
      </c>
      <c r="AW123" s="50">
        <v>5</v>
      </c>
      <c r="AX123" s="49">
        <v>0</v>
      </c>
      <c r="AY123" s="50">
        <v>0</v>
      </c>
      <c r="AZ123" s="49">
        <v>0</v>
      </c>
      <c r="BA123" s="50">
        <v>0</v>
      </c>
      <c r="BB123" s="49">
        <v>10</v>
      </c>
      <c r="BC123" s="50">
        <v>50</v>
      </c>
      <c r="BD123" s="49">
        <v>20</v>
      </c>
      <c r="BE123" s="49"/>
      <c r="BF123" s="49"/>
      <c r="BG123" s="49"/>
      <c r="BH123" s="49"/>
      <c r="BI123" s="49"/>
      <c r="BJ123" s="49"/>
      <c r="BK123" s="115" t="s">
        <v>1164</v>
      </c>
      <c r="BL123" s="115" t="s">
        <v>1164</v>
      </c>
      <c r="BM123" s="115" t="s">
        <v>1289</v>
      </c>
      <c r="BN123" s="115" t="s">
        <v>1289</v>
      </c>
      <c r="BO123" s="2"/>
      <c r="BP123" s="3"/>
      <c r="BQ123" s="3"/>
      <c r="BR123" s="3"/>
      <c r="BS123" s="3"/>
    </row>
    <row r="124" spans="1:71" ht="15">
      <c r="A124" s="66" t="s">
        <v>342</v>
      </c>
      <c r="B124" s="67"/>
      <c r="C124" s="67"/>
      <c r="D124" s="68">
        <v>150</v>
      </c>
      <c r="E124" s="70"/>
      <c r="F124" s="103" t="str">
        <f>HYPERLINK("https://yt3.ggpht.com/ytc/AOPolaQRswLJZtbvKqZMJkeO3xL7bPq3bbDaURhhyQ=s88-c-k-c0x00ffffff-no-rj")</f>
        <v>https://yt3.ggpht.com/ytc/AOPolaQRswLJZtbvKqZMJkeO3xL7bPq3bbDaURhhyQ=s88-c-k-c0x00ffffff-no-rj</v>
      </c>
      <c r="G124" s="67"/>
      <c r="H124" s="71" t="s">
        <v>659</v>
      </c>
      <c r="I124" s="72"/>
      <c r="J124" s="72" t="s">
        <v>159</v>
      </c>
      <c r="K124" s="71" t="s">
        <v>659</v>
      </c>
      <c r="L124" s="75">
        <v>1</v>
      </c>
      <c r="M124" s="76">
        <v>3847.377197265625</v>
      </c>
      <c r="N124" s="76">
        <v>1344.9488525390625</v>
      </c>
      <c r="O124" s="77"/>
      <c r="P124" s="78"/>
      <c r="Q124" s="78"/>
      <c r="R124" s="89"/>
      <c r="S124" s="49">
        <v>0</v>
      </c>
      <c r="T124" s="49">
        <v>1</v>
      </c>
      <c r="U124" s="50">
        <v>0</v>
      </c>
      <c r="V124" s="50">
        <v>0.256952</v>
      </c>
      <c r="W124" s="50">
        <v>0.071778</v>
      </c>
      <c r="X124" s="50">
        <v>0.004811</v>
      </c>
      <c r="Y124" s="50">
        <v>0</v>
      </c>
      <c r="Z124" s="50">
        <v>0</v>
      </c>
      <c r="AA124" s="73">
        <v>124</v>
      </c>
      <c r="AB124" s="73"/>
      <c r="AC124" s="74"/>
      <c r="AD124" s="81" t="s">
        <v>659</v>
      </c>
      <c r="AE124" s="81"/>
      <c r="AF124" s="81"/>
      <c r="AG124" s="81"/>
      <c r="AH124" s="81"/>
      <c r="AI124" s="81" t="s">
        <v>996</v>
      </c>
      <c r="AJ124" s="85">
        <v>40857.874247685184</v>
      </c>
      <c r="AK124" s="83" t="str">
        <f>HYPERLINK("https://yt3.ggpht.com/ytc/AOPolaQRswLJZtbvKqZMJkeO3xL7bPq3bbDaURhhyQ=s88-c-k-c0x00ffffff-no-rj")</f>
        <v>https://yt3.ggpht.com/ytc/AOPolaQRswLJZtbvKqZMJkeO3xL7bPq3bbDaURhhyQ=s88-c-k-c0x00ffffff-no-rj</v>
      </c>
      <c r="AL124" s="81">
        <v>17</v>
      </c>
      <c r="AM124" s="81">
        <v>0</v>
      </c>
      <c r="AN124" s="81">
        <v>2</v>
      </c>
      <c r="AO124" s="81" t="b">
        <v>0</v>
      </c>
      <c r="AP124" s="81">
        <v>1</v>
      </c>
      <c r="AQ124" s="81"/>
      <c r="AR124" s="81"/>
      <c r="AS124" s="81" t="s">
        <v>1057</v>
      </c>
      <c r="AT124" s="83" t="str">
        <f>HYPERLINK("https://www.youtube.com/channel/UCrNm7Y0iwXHwsQATSjiHCRg")</f>
        <v>https://www.youtube.com/channel/UCrNm7Y0iwXHwsQATSjiHCRg</v>
      </c>
      <c r="AU124" s="81">
        <v>1</v>
      </c>
      <c r="AV124" s="49">
        <v>0</v>
      </c>
      <c r="AW124" s="50">
        <v>0</v>
      </c>
      <c r="AX124" s="49">
        <v>0</v>
      </c>
      <c r="AY124" s="50">
        <v>0</v>
      </c>
      <c r="AZ124" s="49">
        <v>0</v>
      </c>
      <c r="BA124" s="50">
        <v>0</v>
      </c>
      <c r="BB124" s="49">
        <v>4</v>
      </c>
      <c r="BC124" s="50">
        <v>28.571428571428573</v>
      </c>
      <c r="BD124" s="49">
        <v>14</v>
      </c>
      <c r="BE124" s="49"/>
      <c r="BF124" s="49"/>
      <c r="BG124" s="49"/>
      <c r="BH124" s="49"/>
      <c r="BI124" s="49"/>
      <c r="BJ124" s="49"/>
      <c r="BK124" s="115" t="s">
        <v>1165</v>
      </c>
      <c r="BL124" s="115" t="s">
        <v>1165</v>
      </c>
      <c r="BM124" s="115" t="s">
        <v>1290</v>
      </c>
      <c r="BN124" s="115" t="s">
        <v>1290</v>
      </c>
      <c r="BO124" s="2"/>
      <c r="BP124" s="3"/>
      <c r="BQ124" s="3"/>
      <c r="BR124" s="3"/>
      <c r="BS124" s="3"/>
    </row>
    <row r="125" spans="1:71" ht="15">
      <c r="A125" s="66" t="s">
        <v>343</v>
      </c>
      <c r="B125" s="67"/>
      <c r="C125" s="67"/>
      <c r="D125" s="68">
        <v>150</v>
      </c>
      <c r="E125" s="70"/>
      <c r="F125" s="103" t="str">
        <f>HYPERLINK("https://yt3.ggpht.com/ytc/AOPolaQJ4R8PGPnhGzARTa2sKTEYOGmkN8Vbwrea9Ntykw=s88-c-k-c0x00ffffff-no-rj")</f>
        <v>https://yt3.ggpht.com/ytc/AOPolaQJ4R8PGPnhGzARTa2sKTEYOGmkN8Vbwrea9Ntykw=s88-c-k-c0x00ffffff-no-rj</v>
      </c>
      <c r="G125" s="67"/>
      <c r="H125" s="71" t="s">
        <v>660</v>
      </c>
      <c r="I125" s="72"/>
      <c r="J125" s="72" t="s">
        <v>159</v>
      </c>
      <c r="K125" s="71" t="s">
        <v>660</v>
      </c>
      <c r="L125" s="75">
        <v>1</v>
      </c>
      <c r="M125" s="76">
        <v>1363.1492919921875</v>
      </c>
      <c r="N125" s="76">
        <v>2671.917236328125</v>
      </c>
      <c r="O125" s="77"/>
      <c r="P125" s="78"/>
      <c r="Q125" s="78"/>
      <c r="R125" s="89"/>
      <c r="S125" s="49">
        <v>0</v>
      </c>
      <c r="T125" s="49">
        <v>1</v>
      </c>
      <c r="U125" s="50">
        <v>0</v>
      </c>
      <c r="V125" s="50">
        <v>0.256952</v>
      </c>
      <c r="W125" s="50">
        <v>0.071778</v>
      </c>
      <c r="X125" s="50">
        <v>0.004811</v>
      </c>
      <c r="Y125" s="50">
        <v>0</v>
      </c>
      <c r="Z125" s="50">
        <v>0</v>
      </c>
      <c r="AA125" s="73">
        <v>125</v>
      </c>
      <c r="AB125" s="73"/>
      <c r="AC125" s="74"/>
      <c r="AD125" s="81" t="s">
        <v>660</v>
      </c>
      <c r="AE125" s="81"/>
      <c r="AF125" s="81"/>
      <c r="AG125" s="81"/>
      <c r="AH125" s="81"/>
      <c r="AI125" s="81" t="s">
        <v>997</v>
      </c>
      <c r="AJ125" s="85">
        <v>41733.04329861111</v>
      </c>
      <c r="AK125" s="83" t="str">
        <f>HYPERLINK("https://yt3.ggpht.com/ytc/AOPolaQJ4R8PGPnhGzARTa2sKTEYOGmkN8Vbwrea9Ntykw=s88-c-k-c0x00ffffff-no-rj")</f>
        <v>https://yt3.ggpht.com/ytc/AOPolaQJ4R8PGPnhGzARTa2sKTEYOGmkN8Vbwrea9Ntykw=s88-c-k-c0x00ffffff-no-rj</v>
      </c>
      <c r="AL125" s="81">
        <v>0</v>
      </c>
      <c r="AM125" s="81">
        <v>0</v>
      </c>
      <c r="AN125" s="81">
        <v>4</v>
      </c>
      <c r="AO125" s="81" t="b">
        <v>0</v>
      </c>
      <c r="AP125" s="81">
        <v>0</v>
      </c>
      <c r="AQ125" s="81"/>
      <c r="AR125" s="81"/>
      <c r="AS125" s="81" t="s">
        <v>1057</v>
      </c>
      <c r="AT125" s="83" t="str">
        <f>HYPERLINK("https://www.youtube.com/channel/UCyKikC5yhzTXZvVk0VW4cRg")</f>
        <v>https://www.youtube.com/channel/UCyKikC5yhzTXZvVk0VW4cRg</v>
      </c>
      <c r="AU125" s="81">
        <v>1</v>
      </c>
      <c r="AV125" s="49">
        <v>1</v>
      </c>
      <c r="AW125" s="50">
        <v>20</v>
      </c>
      <c r="AX125" s="49">
        <v>0</v>
      </c>
      <c r="AY125" s="50">
        <v>0</v>
      </c>
      <c r="AZ125" s="49">
        <v>0</v>
      </c>
      <c r="BA125" s="50">
        <v>0</v>
      </c>
      <c r="BB125" s="49">
        <v>2</v>
      </c>
      <c r="BC125" s="50">
        <v>40</v>
      </c>
      <c r="BD125" s="49">
        <v>5</v>
      </c>
      <c r="BE125" s="49"/>
      <c r="BF125" s="49"/>
      <c r="BG125" s="49"/>
      <c r="BH125" s="49"/>
      <c r="BI125" s="49"/>
      <c r="BJ125" s="49"/>
      <c r="BK125" s="115" t="s">
        <v>1166</v>
      </c>
      <c r="BL125" s="115" t="s">
        <v>1166</v>
      </c>
      <c r="BM125" s="115" t="s">
        <v>1291</v>
      </c>
      <c r="BN125" s="115" t="s">
        <v>1291</v>
      </c>
      <c r="BO125" s="2"/>
      <c r="BP125" s="3"/>
      <c r="BQ125" s="3"/>
      <c r="BR125" s="3"/>
      <c r="BS125" s="3"/>
    </row>
    <row r="126" spans="1:71" ht="15">
      <c r="A126" s="66" t="s">
        <v>344</v>
      </c>
      <c r="B126" s="67"/>
      <c r="C126" s="67"/>
      <c r="D126" s="68">
        <v>150</v>
      </c>
      <c r="E126" s="70"/>
      <c r="F126" s="103" t="str">
        <f>HYPERLINK("https://yt3.ggpht.com/ytc/AOPolaQ_b9XZnoZT1Nr-TmvEP_ySfmPoYzDSA6DoOoKD=s88-c-k-c0x00ffffff-no-rj")</f>
        <v>https://yt3.ggpht.com/ytc/AOPolaQ_b9XZnoZT1Nr-TmvEP_ySfmPoYzDSA6DoOoKD=s88-c-k-c0x00ffffff-no-rj</v>
      </c>
      <c r="G126" s="67"/>
      <c r="H126" s="71" t="s">
        <v>661</v>
      </c>
      <c r="I126" s="72"/>
      <c r="J126" s="72" t="s">
        <v>159</v>
      </c>
      <c r="K126" s="71" t="s">
        <v>661</v>
      </c>
      <c r="L126" s="75">
        <v>1</v>
      </c>
      <c r="M126" s="76">
        <v>140.48487854003906</v>
      </c>
      <c r="N126" s="76">
        <v>5553.7587890625</v>
      </c>
      <c r="O126" s="77"/>
      <c r="P126" s="78"/>
      <c r="Q126" s="78"/>
      <c r="R126" s="89"/>
      <c r="S126" s="49">
        <v>0</v>
      </c>
      <c r="T126" s="49">
        <v>1</v>
      </c>
      <c r="U126" s="50">
        <v>0</v>
      </c>
      <c r="V126" s="50">
        <v>0.256952</v>
      </c>
      <c r="W126" s="50">
        <v>0.071778</v>
      </c>
      <c r="X126" s="50">
        <v>0.004811</v>
      </c>
      <c r="Y126" s="50">
        <v>0</v>
      </c>
      <c r="Z126" s="50">
        <v>0</v>
      </c>
      <c r="AA126" s="73">
        <v>126</v>
      </c>
      <c r="AB126" s="73"/>
      <c r="AC126" s="74"/>
      <c r="AD126" s="81" t="s">
        <v>661</v>
      </c>
      <c r="AE126" s="81"/>
      <c r="AF126" s="81"/>
      <c r="AG126" s="81"/>
      <c r="AH126" s="81"/>
      <c r="AI126" s="81" t="s">
        <v>998</v>
      </c>
      <c r="AJ126" s="85">
        <v>43441.48881944444</v>
      </c>
      <c r="AK126" s="83" t="str">
        <f>HYPERLINK("https://yt3.ggpht.com/ytc/AOPolaQ_b9XZnoZT1Nr-TmvEP_ySfmPoYzDSA6DoOoKD=s88-c-k-c0x00ffffff-no-rj")</f>
        <v>https://yt3.ggpht.com/ytc/AOPolaQ_b9XZnoZT1Nr-TmvEP_ySfmPoYzDSA6DoOoKD=s88-c-k-c0x00ffffff-no-rj</v>
      </c>
      <c r="AL126" s="81">
        <v>0</v>
      </c>
      <c r="AM126" s="81">
        <v>0</v>
      </c>
      <c r="AN126" s="81">
        <v>18</v>
      </c>
      <c r="AO126" s="81" t="b">
        <v>0</v>
      </c>
      <c r="AP126" s="81">
        <v>0</v>
      </c>
      <c r="AQ126" s="81"/>
      <c r="AR126" s="81"/>
      <c r="AS126" s="81" t="s">
        <v>1057</v>
      </c>
      <c r="AT126" s="83" t="str">
        <f>HYPERLINK("https://www.youtube.com/channel/UCbWVBsrodqC1H8TJp3GjiXA")</f>
        <v>https://www.youtube.com/channel/UCbWVBsrodqC1H8TJp3GjiXA</v>
      </c>
      <c r="AU126" s="81">
        <v>1</v>
      </c>
      <c r="AV126" s="49">
        <v>0</v>
      </c>
      <c r="AW126" s="50">
        <v>0</v>
      </c>
      <c r="AX126" s="49">
        <v>0</v>
      </c>
      <c r="AY126" s="50">
        <v>0</v>
      </c>
      <c r="AZ126" s="49">
        <v>0</v>
      </c>
      <c r="BA126" s="50">
        <v>0</v>
      </c>
      <c r="BB126" s="49">
        <v>2</v>
      </c>
      <c r="BC126" s="50">
        <v>100</v>
      </c>
      <c r="BD126" s="49">
        <v>2</v>
      </c>
      <c r="BE126" s="49"/>
      <c r="BF126" s="49"/>
      <c r="BG126" s="49"/>
      <c r="BH126" s="49"/>
      <c r="BI126" s="49"/>
      <c r="BJ126" s="49"/>
      <c r="BK126" s="115" t="s">
        <v>1167</v>
      </c>
      <c r="BL126" s="115" t="s">
        <v>1167</v>
      </c>
      <c r="BM126" s="115" t="s">
        <v>1292</v>
      </c>
      <c r="BN126" s="115" t="s">
        <v>1292</v>
      </c>
      <c r="BO126" s="2"/>
      <c r="BP126" s="3"/>
      <c r="BQ126" s="3"/>
      <c r="BR126" s="3"/>
      <c r="BS126" s="3"/>
    </row>
    <row r="127" spans="1:71" ht="15">
      <c r="A127" s="66" t="s">
        <v>345</v>
      </c>
      <c r="B127" s="67"/>
      <c r="C127" s="67"/>
      <c r="D127" s="68">
        <v>150</v>
      </c>
      <c r="E127" s="70"/>
      <c r="F127" s="103" t="str">
        <f>HYPERLINK("https://yt3.ggpht.com/ytc/AOPolaTChzCE7f2zdMwkm1RikFi0q_zDyLVWX34bN84v=s88-c-k-c0x00ffffff-no-rj")</f>
        <v>https://yt3.ggpht.com/ytc/AOPolaTChzCE7f2zdMwkm1RikFi0q_zDyLVWX34bN84v=s88-c-k-c0x00ffffff-no-rj</v>
      </c>
      <c r="G127" s="67"/>
      <c r="H127" s="71" t="s">
        <v>662</v>
      </c>
      <c r="I127" s="72"/>
      <c r="J127" s="72" t="s">
        <v>159</v>
      </c>
      <c r="K127" s="71" t="s">
        <v>662</v>
      </c>
      <c r="L127" s="75">
        <v>1</v>
      </c>
      <c r="M127" s="76">
        <v>4563.01025390625</v>
      </c>
      <c r="N127" s="76">
        <v>5592.3544921875</v>
      </c>
      <c r="O127" s="77"/>
      <c r="P127" s="78"/>
      <c r="Q127" s="78"/>
      <c r="R127" s="89"/>
      <c r="S127" s="49">
        <v>0</v>
      </c>
      <c r="T127" s="49">
        <v>1</v>
      </c>
      <c r="U127" s="50">
        <v>0</v>
      </c>
      <c r="V127" s="50">
        <v>0.256952</v>
      </c>
      <c r="W127" s="50">
        <v>0.071778</v>
      </c>
      <c r="X127" s="50">
        <v>0.004811</v>
      </c>
      <c r="Y127" s="50">
        <v>0</v>
      </c>
      <c r="Z127" s="50">
        <v>0</v>
      </c>
      <c r="AA127" s="73">
        <v>127</v>
      </c>
      <c r="AB127" s="73"/>
      <c r="AC127" s="74"/>
      <c r="AD127" s="81" t="s">
        <v>662</v>
      </c>
      <c r="AE127" s="81"/>
      <c r="AF127" s="81"/>
      <c r="AG127" s="81"/>
      <c r="AH127" s="81"/>
      <c r="AI127" s="81" t="s">
        <v>999</v>
      </c>
      <c r="AJ127" s="85">
        <v>42309.246712962966</v>
      </c>
      <c r="AK127" s="83" t="str">
        <f>HYPERLINK("https://yt3.ggpht.com/ytc/AOPolaTChzCE7f2zdMwkm1RikFi0q_zDyLVWX34bN84v=s88-c-k-c0x00ffffff-no-rj")</f>
        <v>https://yt3.ggpht.com/ytc/AOPolaTChzCE7f2zdMwkm1RikFi0q_zDyLVWX34bN84v=s88-c-k-c0x00ffffff-no-rj</v>
      </c>
      <c r="AL127" s="81">
        <v>3</v>
      </c>
      <c r="AM127" s="81">
        <v>0</v>
      </c>
      <c r="AN127" s="81">
        <v>1</v>
      </c>
      <c r="AO127" s="81" t="b">
        <v>0</v>
      </c>
      <c r="AP127" s="81">
        <v>1</v>
      </c>
      <c r="AQ127" s="81"/>
      <c r="AR127" s="81"/>
      <c r="AS127" s="81" t="s">
        <v>1057</v>
      </c>
      <c r="AT127" s="83" t="str">
        <f>HYPERLINK("https://www.youtube.com/channel/UC5WTOypNmrJictESxhQ9fGQ")</f>
        <v>https://www.youtube.com/channel/UC5WTOypNmrJictESxhQ9fGQ</v>
      </c>
      <c r="AU127" s="81">
        <v>1</v>
      </c>
      <c r="AV127" s="49">
        <v>0</v>
      </c>
      <c r="AW127" s="50">
        <v>0</v>
      </c>
      <c r="AX127" s="49">
        <v>0</v>
      </c>
      <c r="AY127" s="50">
        <v>0</v>
      </c>
      <c r="AZ127" s="49">
        <v>0</v>
      </c>
      <c r="BA127" s="50">
        <v>0</v>
      </c>
      <c r="BB127" s="49">
        <v>1</v>
      </c>
      <c r="BC127" s="50">
        <v>50</v>
      </c>
      <c r="BD127" s="49">
        <v>2</v>
      </c>
      <c r="BE127" s="49"/>
      <c r="BF127" s="49"/>
      <c r="BG127" s="49"/>
      <c r="BH127" s="49"/>
      <c r="BI127" s="49"/>
      <c r="BJ127" s="49"/>
      <c r="BK127" s="115" t="s">
        <v>1168</v>
      </c>
      <c r="BL127" s="115" t="s">
        <v>1168</v>
      </c>
      <c r="BM127" s="115" t="s">
        <v>1634</v>
      </c>
      <c r="BN127" s="115" t="s">
        <v>1634</v>
      </c>
      <c r="BO127" s="2"/>
      <c r="BP127" s="3"/>
      <c r="BQ127" s="3"/>
      <c r="BR127" s="3"/>
      <c r="BS127" s="3"/>
    </row>
    <row r="128" spans="1:71" ht="15">
      <c r="A128" s="66" t="s">
        <v>346</v>
      </c>
      <c r="B128" s="67"/>
      <c r="C128" s="67"/>
      <c r="D128" s="68">
        <v>150</v>
      </c>
      <c r="E128" s="70"/>
      <c r="F128" s="103" t="str">
        <f>HYPERLINK("https://yt3.ggpht.com/ytc/AOPolaS0hanx-JDxPcbXe666JCrod9NqJLyI4hI_D-ofMA=s88-c-k-c0x00ffffff-no-rj")</f>
        <v>https://yt3.ggpht.com/ytc/AOPolaS0hanx-JDxPcbXe666JCrod9NqJLyI4hI_D-ofMA=s88-c-k-c0x00ffffff-no-rj</v>
      </c>
      <c r="G128" s="67"/>
      <c r="H128" s="71" t="s">
        <v>663</v>
      </c>
      <c r="I128" s="72"/>
      <c r="J128" s="72" t="s">
        <v>159</v>
      </c>
      <c r="K128" s="71" t="s">
        <v>663</v>
      </c>
      <c r="L128" s="75">
        <v>1</v>
      </c>
      <c r="M128" s="76">
        <v>1884.01513671875</v>
      </c>
      <c r="N128" s="76">
        <v>4528.11669921875</v>
      </c>
      <c r="O128" s="77"/>
      <c r="P128" s="78"/>
      <c r="Q128" s="78"/>
      <c r="R128" s="89"/>
      <c r="S128" s="49">
        <v>0</v>
      </c>
      <c r="T128" s="49">
        <v>1</v>
      </c>
      <c r="U128" s="50">
        <v>0</v>
      </c>
      <c r="V128" s="50">
        <v>0.256952</v>
      </c>
      <c r="W128" s="50">
        <v>0.071778</v>
      </c>
      <c r="X128" s="50">
        <v>0.004811</v>
      </c>
      <c r="Y128" s="50">
        <v>0</v>
      </c>
      <c r="Z128" s="50">
        <v>0</v>
      </c>
      <c r="AA128" s="73">
        <v>128</v>
      </c>
      <c r="AB128" s="73"/>
      <c r="AC128" s="74"/>
      <c r="AD128" s="81" t="s">
        <v>663</v>
      </c>
      <c r="AE128" s="81"/>
      <c r="AF128" s="81"/>
      <c r="AG128" s="81"/>
      <c r="AH128" s="81"/>
      <c r="AI128" s="81" t="s">
        <v>1000</v>
      </c>
      <c r="AJ128" s="85">
        <v>41648.45077546296</v>
      </c>
      <c r="AK128" s="83" t="str">
        <f>HYPERLINK("https://yt3.ggpht.com/ytc/AOPolaS0hanx-JDxPcbXe666JCrod9NqJLyI4hI_D-ofMA=s88-c-k-c0x00ffffff-no-rj")</f>
        <v>https://yt3.ggpht.com/ytc/AOPolaS0hanx-JDxPcbXe666JCrod9NqJLyI4hI_D-ofMA=s88-c-k-c0x00ffffff-no-rj</v>
      </c>
      <c r="AL128" s="81">
        <v>34</v>
      </c>
      <c r="AM128" s="81">
        <v>0</v>
      </c>
      <c r="AN128" s="81">
        <v>9</v>
      </c>
      <c r="AO128" s="81" t="b">
        <v>0</v>
      </c>
      <c r="AP128" s="81">
        <v>1</v>
      </c>
      <c r="AQ128" s="81"/>
      <c r="AR128" s="81"/>
      <c r="AS128" s="81" t="s">
        <v>1057</v>
      </c>
      <c r="AT128" s="83" t="str">
        <f>HYPERLINK("https://www.youtube.com/channel/UCPU4FlfeDnW7IRkKoCQyjyQ")</f>
        <v>https://www.youtube.com/channel/UCPU4FlfeDnW7IRkKoCQyjyQ</v>
      </c>
      <c r="AU128" s="81">
        <v>1</v>
      </c>
      <c r="AV128" s="49">
        <v>6</v>
      </c>
      <c r="AW128" s="50">
        <v>5.882352941176471</v>
      </c>
      <c r="AX128" s="49">
        <v>3</v>
      </c>
      <c r="AY128" s="50">
        <v>2.9411764705882355</v>
      </c>
      <c r="AZ128" s="49">
        <v>0</v>
      </c>
      <c r="BA128" s="50">
        <v>0</v>
      </c>
      <c r="BB128" s="49">
        <v>27</v>
      </c>
      <c r="BC128" s="50">
        <v>26.470588235294116</v>
      </c>
      <c r="BD128" s="49">
        <v>102</v>
      </c>
      <c r="BE128" s="49"/>
      <c r="BF128" s="49"/>
      <c r="BG128" s="49"/>
      <c r="BH128" s="49"/>
      <c r="BI128" s="49"/>
      <c r="BJ128" s="49"/>
      <c r="BK128" s="115" t="s">
        <v>1169</v>
      </c>
      <c r="BL128" s="115" t="s">
        <v>1169</v>
      </c>
      <c r="BM128" s="115" t="s">
        <v>1293</v>
      </c>
      <c r="BN128" s="115" t="s">
        <v>1293</v>
      </c>
      <c r="BO128" s="2"/>
      <c r="BP128" s="3"/>
      <c r="BQ128" s="3"/>
      <c r="BR128" s="3"/>
      <c r="BS128" s="3"/>
    </row>
    <row r="129" spans="1:71" ht="15">
      <c r="A129" s="66" t="s">
        <v>347</v>
      </c>
      <c r="B129" s="67"/>
      <c r="C129" s="67"/>
      <c r="D129" s="68">
        <v>150</v>
      </c>
      <c r="E129" s="70"/>
      <c r="F129" s="103" t="str">
        <f>HYPERLINK("https://yt3.ggpht.com/ytc/AOPolaTiGhV20CR-IdoM26UFHiyoT17eNnUjptUk9g=s88-c-k-c0x00ffffff-no-rj")</f>
        <v>https://yt3.ggpht.com/ytc/AOPolaTiGhV20CR-IdoM26UFHiyoT17eNnUjptUk9g=s88-c-k-c0x00ffffff-no-rj</v>
      </c>
      <c r="G129" s="67"/>
      <c r="H129" s="71" t="s">
        <v>664</v>
      </c>
      <c r="I129" s="72"/>
      <c r="J129" s="72" t="s">
        <v>159</v>
      </c>
      <c r="K129" s="71" t="s">
        <v>664</v>
      </c>
      <c r="L129" s="75">
        <v>1</v>
      </c>
      <c r="M129" s="76">
        <v>1120.8704833984375</v>
      </c>
      <c r="N129" s="76">
        <v>5114.86767578125</v>
      </c>
      <c r="O129" s="77"/>
      <c r="P129" s="78"/>
      <c r="Q129" s="78"/>
      <c r="R129" s="89"/>
      <c r="S129" s="49">
        <v>0</v>
      </c>
      <c r="T129" s="49">
        <v>1</v>
      </c>
      <c r="U129" s="50">
        <v>0</v>
      </c>
      <c r="V129" s="50">
        <v>0.256952</v>
      </c>
      <c r="W129" s="50">
        <v>0.071778</v>
      </c>
      <c r="X129" s="50">
        <v>0.004811</v>
      </c>
      <c r="Y129" s="50">
        <v>0</v>
      </c>
      <c r="Z129" s="50">
        <v>0</v>
      </c>
      <c r="AA129" s="73">
        <v>129</v>
      </c>
      <c r="AB129" s="73"/>
      <c r="AC129" s="74"/>
      <c r="AD129" s="81" t="s">
        <v>664</v>
      </c>
      <c r="AE129" s="81"/>
      <c r="AF129" s="81"/>
      <c r="AG129" s="81"/>
      <c r="AH129" s="81"/>
      <c r="AI129" s="81" t="s">
        <v>1001</v>
      </c>
      <c r="AJ129" s="85">
        <v>42231.81744212963</v>
      </c>
      <c r="AK129" s="83" t="str">
        <f>HYPERLINK("https://yt3.ggpht.com/ytc/AOPolaTiGhV20CR-IdoM26UFHiyoT17eNnUjptUk9g=s88-c-k-c0x00ffffff-no-rj")</f>
        <v>https://yt3.ggpht.com/ytc/AOPolaTiGhV20CR-IdoM26UFHiyoT17eNnUjptUk9g=s88-c-k-c0x00ffffff-no-rj</v>
      </c>
      <c r="AL129" s="81">
        <v>0</v>
      </c>
      <c r="AM129" s="81">
        <v>0</v>
      </c>
      <c r="AN129" s="81">
        <v>0</v>
      </c>
      <c r="AO129" s="81" t="b">
        <v>0</v>
      </c>
      <c r="AP129" s="81">
        <v>0</v>
      </c>
      <c r="AQ129" s="81"/>
      <c r="AR129" s="81"/>
      <c r="AS129" s="81" t="s">
        <v>1057</v>
      </c>
      <c r="AT129" s="83" t="str">
        <f>HYPERLINK("https://www.youtube.com/channel/UCIQeNXIAIs4AEGN64C0KK0w")</f>
        <v>https://www.youtube.com/channel/UCIQeNXIAIs4AEGN64C0KK0w</v>
      </c>
      <c r="AU129" s="81">
        <v>1</v>
      </c>
      <c r="AV129" s="49">
        <v>3</v>
      </c>
      <c r="AW129" s="50">
        <v>15.789473684210526</v>
      </c>
      <c r="AX129" s="49">
        <v>0</v>
      </c>
      <c r="AY129" s="50">
        <v>0</v>
      </c>
      <c r="AZ129" s="49">
        <v>0</v>
      </c>
      <c r="BA129" s="50">
        <v>0</v>
      </c>
      <c r="BB129" s="49">
        <v>11</v>
      </c>
      <c r="BC129" s="50">
        <v>57.89473684210526</v>
      </c>
      <c r="BD129" s="49">
        <v>19</v>
      </c>
      <c r="BE129" s="49"/>
      <c r="BF129" s="49"/>
      <c r="BG129" s="49"/>
      <c r="BH129" s="49"/>
      <c r="BI129" s="49"/>
      <c r="BJ129" s="49"/>
      <c r="BK129" s="115" t="s">
        <v>1170</v>
      </c>
      <c r="BL129" s="115" t="s">
        <v>1170</v>
      </c>
      <c r="BM129" s="115" t="s">
        <v>1294</v>
      </c>
      <c r="BN129" s="115" t="s">
        <v>1294</v>
      </c>
      <c r="BO129" s="2"/>
      <c r="BP129" s="3"/>
      <c r="BQ129" s="3"/>
      <c r="BR129" s="3"/>
      <c r="BS129" s="3"/>
    </row>
    <row r="130" spans="1:71" ht="15">
      <c r="A130" s="66" t="s">
        <v>348</v>
      </c>
      <c r="B130" s="67"/>
      <c r="C130" s="67"/>
      <c r="D130" s="68">
        <v>150</v>
      </c>
      <c r="E130" s="70"/>
      <c r="F130" s="103" t="str">
        <f>HYPERLINK("https://yt3.ggpht.com/ytc/AOPolaTAOQO-6hsyy91aCEwEoTmE6d43alBYE-JOHENR2A=s88-c-k-c0x00ffffff-no-rj")</f>
        <v>https://yt3.ggpht.com/ytc/AOPolaTAOQO-6hsyy91aCEwEoTmE6d43alBYE-JOHENR2A=s88-c-k-c0x00ffffff-no-rj</v>
      </c>
      <c r="G130" s="67"/>
      <c r="H130" s="71" t="s">
        <v>665</v>
      </c>
      <c r="I130" s="72"/>
      <c r="J130" s="72" t="s">
        <v>159</v>
      </c>
      <c r="K130" s="71" t="s">
        <v>665</v>
      </c>
      <c r="L130" s="75">
        <v>1</v>
      </c>
      <c r="M130" s="76">
        <v>209.17893981933594</v>
      </c>
      <c r="N130" s="76">
        <v>6249.0126953125</v>
      </c>
      <c r="O130" s="77"/>
      <c r="P130" s="78"/>
      <c r="Q130" s="78"/>
      <c r="R130" s="89"/>
      <c r="S130" s="49">
        <v>0</v>
      </c>
      <c r="T130" s="49">
        <v>1</v>
      </c>
      <c r="U130" s="50">
        <v>0</v>
      </c>
      <c r="V130" s="50">
        <v>0.256952</v>
      </c>
      <c r="W130" s="50">
        <v>0.071778</v>
      </c>
      <c r="X130" s="50">
        <v>0.004811</v>
      </c>
      <c r="Y130" s="50">
        <v>0</v>
      </c>
      <c r="Z130" s="50">
        <v>0</v>
      </c>
      <c r="AA130" s="73">
        <v>130</v>
      </c>
      <c r="AB130" s="73"/>
      <c r="AC130" s="74"/>
      <c r="AD130" s="81" t="s">
        <v>665</v>
      </c>
      <c r="AE130" s="81"/>
      <c r="AF130" s="81"/>
      <c r="AG130" s="81"/>
      <c r="AH130" s="81"/>
      <c r="AI130" s="81" t="s">
        <v>1002</v>
      </c>
      <c r="AJ130" s="85">
        <v>41341.930868055555</v>
      </c>
      <c r="AK130" s="83" t="str">
        <f>HYPERLINK("https://yt3.ggpht.com/ytc/AOPolaTAOQO-6hsyy91aCEwEoTmE6d43alBYE-JOHENR2A=s88-c-k-c0x00ffffff-no-rj")</f>
        <v>https://yt3.ggpht.com/ytc/AOPolaTAOQO-6hsyy91aCEwEoTmE6d43alBYE-JOHENR2A=s88-c-k-c0x00ffffff-no-rj</v>
      </c>
      <c r="AL130" s="81">
        <v>0</v>
      </c>
      <c r="AM130" s="81">
        <v>0</v>
      </c>
      <c r="AN130" s="81">
        <v>0</v>
      </c>
      <c r="AO130" s="81" t="b">
        <v>0</v>
      </c>
      <c r="AP130" s="81">
        <v>0</v>
      </c>
      <c r="AQ130" s="81"/>
      <c r="AR130" s="81"/>
      <c r="AS130" s="81" t="s">
        <v>1057</v>
      </c>
      <c r="AT130" s="83" t="str">
        <f>HYPERLINK("https://www.youtube.com/channel/UCMTBIObLI9rZtgssGTqo-vw")</f>
        <v>https://www.youtube.com/channel/UCMTBIObLI9rZtgssGTqo-vw</v>
      </c>
      <c r="AU130" s="81">
        <v>1</v>
      </c>
      <c r="AV130" s="49">
        <v>0</v>
      </c>
      <c r="AW130" s="50">
        <v>0</v>
      </c>
      <c r="AX130" s="49">
        <v>0</v>
      </c>
      <c r="AY130" s="50">
        <v>0</v>
      </c>
      <c r="AZ130" s="49">
        <v>0</v>
      </c>
      <c r="BA130" s="50">
        <v>0</v>
      </c>
      <c r="BB130" s="49">
        <v>16</v>
      </c>
      <c r="BC130" s="50">
        <v>48.484848484848484</v>
      </c>
      <c r="BD130" s="49">
        <v>33</v>
      </c>
      <c r="BE130" s="49"/>
      <c r="BF130" s="49"/>
      <c r="BG130" s="49"/>
      <c r="BH130" s="49"/>
      <c r="BI130" s="49"/>
      <c r="BJ130" s="49"/>
      <c r="BK130" s="115" t="s">
        <v>1681</v>
      </c>
      <c r="BL130" s="115" t="s">
        <v>1681</v>
      </c>
      <c r="BM130" s="115" t="s">
        <v>1687</v>
      </c>
      <c r="BN130" s="115" t="s">
        <v>1687</v>
      </c>
      <c r="BO130" s="2"/>
      <c r="BP130" s="3"/>
      <c r="BQ130" s="3"/>
      <c r="BR130" s="3"/>
      <c r="BS130" s="3"/>
    </row>
    <row r="131" spans="1:71" ht="15">
      <c r="A131" s="66" t="s">
        <v>349</v>
      </c>
      <c r="B131" s="67"/>
      <c r="C131" s="67"/>
      <c r="D131" s="68">
        <v>150</v>
      </c>
      <c r="E131" s="70"/>
      <c r="F131" s="103" t="str">
        <f>HYPERLINK("https://yt3.ggpht.com/ytc/AOPolaRqUTeKL1iJwHgMsk8Z_fb4lcMBWBy3Gz5Hp27x1pA=s88-c-k-c0x00ffffff-no-rj")</f>
        <v>https://yt3.ggpht.com/ytc/AOPolaRqUTeKL1iJwHgMsk8Z_fb4lcMBWBy3Gz5Hp27x1pA=s88-c-k-c0x00ffffff-no-rj</v>
      </c>
      <c r="G131" s="67"/>
      <c r="H131" s="71" t="s">
        <v>666</v>
      </c>
      <c r="I131" s="72"/>
      <c r="J131" s="72" t="s">
        <v>159</v>
      </c>
      <c r="K131" s="71" t="s">
        <v>666</v>
      </c>
      <c r="L131" s="75">
        <v>1</v>
      </c>
      <c r="M131" s="76">
        <v>4217.8564453125</v>
      </c>
      <c r="N131" s="76">
        <v>1199.4979248046875</v>
      </c>
      <c r="O131" s="77"/>
      <c r="P131" s="78"/>
      <c r="Q131" s="78"/>
      <c r="R131" s="89"/>
      <c r="S131" s="49">
        <v>0</v>
      </c>
      <c r="T131" s="49">
        <v>1</v>
      </c>
      <c r="U131" s="50">
        <v>0</v>
      </c>
      <c r="V131" s="50">
        <v>0.256952</v>
      </c>
      <c r="W131" s="50">
        <v>0.071778</v>
      </c>
      <c r="X131" s="50">
        <v>0.004811</v>
      </c>
      <c r="Y131" s="50">
        <v>0</v>
      </c>
      <c r="Z131" s="50">
        <v>0</v>
      </c>
      <c r="AA131" s="73">
        <v>131</v>
      </c>
      <c r="AB131" s="73"/>
      <c r="AC131" s="74"/>
      <c r="AD131" s="81" t="s">
        <v>666</v>
      </c>
      <c r="AE131" s="81" t="s">
        <v>844</v>
      </c>
      <c r="AF131" s="81"/>
      <c r="AG131" s="81"/>
      <c r="AH131" s="81"/>
      <c r="AI131" s="81" t="s">
        <v>1003</v>
      </c>
      <c r="AJ131" s="85">
        <v>42416.99248842592</v>
      </c>
      <c r="AK131" s="83" t="str">
        <f>HYPERLINK("https://yt3.ggpht.com/ytc/AOPolaRqUTeKL1iJwHgMsk8Z_fb4lcMBWBy3Gz5Hp27x1pA=s88-c-k-c0x00ffffff-no-rj")</f>
        <v>https://yt3.ggpht.com/ytc/AOPolaRqUTeKL1iJwHgMsk8Z_fb4lcMBWBy3Gz5Hp27x1pA=s88-c-k-c0x00ffffff-no-rj</v>
      </c>
      <c r="AL131" s="81">
        <v>3</v>
      </c>
      <c r="AM131" s="81">
        <v>0</v>
      </c>
      <c r="AN131" s="81">
        <v>0</v>
      </c>
      <c r="AO131" s="81" t="b">
        <v>0</v>
      </c>
      <c r="AP131" s="81">
        <v>2</v>
      </c>
      <c r="AQ131" s="81"/>
      <c r="AR131" s="81"/>
      <c r="AS131" s="81" t="s">
        <v>1057</v>
      </c>
      <c r="AT131" s="83" t="str">
        <f>HYPERLINK("https://www.youtube.com/channel/UC7p6T0RX4u_Wqw_3Hl-sgaA")</f>
        <v>https://www.youtube.com/channel/UC7p6T0RX4u_Wqw_3Hl-sgaA</v>
      </c>
      <c r="AU131" s="81">
        <v>1</v>
      </c>
      <c r="AV131" s="49">
        <v>2</v>
      </c>
      <c r="AW131" s="50">
        <v>14.285714285714286</v>
      </c>
      <c r="AX131" s="49">
        <v>0</v>
      </c>
      <c r="AY131" s="50">
        <v>0</v>
      </c>
      <c r="AZ131" s="49">
        <v>0</v>
      </c>
      <c r="BA131" s="50">
        <v>0</v>
      </c>
      <c r="BB131" s="49">
        <v>4</v>
      </c>
      <c r="BC131" s="50">
        <v>28.571428571428573</v>
      </c>
      <c r="BD131" s="49">
        <v>14</v>
      </c>
      <c r="BE131" s="49"/>
      <c r="BF131" s="49"/>
      <c r="BG131" s="49"/>
      <c r="BH131" s="49"/>
      <c r="BI131" s="49"/>
      <c r="BJ131" s="49"/>
      <c r="BK131" s="115" t="s">
        <v>1171</v>
      </c>
      <c r="BL131" s="115" t="s">
        <v>1171</v>
      </c>
      <c r="BM131" s="115" t="s">
        <v>1295</v>
      </c>
      <c r="BN131" s="115" t="s">
        <v>1295</v>
      </c>
      <c r="BO131" s="2"/>
      <c r="BP131" s="3"/>
      <c r="BQ131" s="3"/>
      <c r="BR131" s="3"/>
      <c r="BS131" s="3"/>
    </row>
    <row r="132" spans="1:71" ht="15">
      <c r="A132" s="66" t="s">
        <v>350</v>
      </c>
      <c r="B132" s="67"/>
      <c r="C132" s="67"/>
      <c r="D132" s="68">
        <v>150</v>
      </c>
      <c r="E132" s="70"/>
      <c r="F132" s="103" t="str">
        <f>HYPERLINK("https://yt3.ggpht.com/ytc/AOPolaRx04mCQGHsu60q_hSHw4TXNnRqNWsTJvxORQ=s88-c-k-c0x00ffffff-no-rj")</f>
        <v>https://yt3.ggpht.com/ytc/AOPolaRx04mCQGHsu60q_hSHw4TXNnRqNWsTJvxORQ=s88-c-k-c0x00ffffff-no-rj</v>
      </c>
      <c r="G132" s="67"/>
      <c r="H132" s="71" t="s">
        <v>667</v>
      </c>
      <c r="I132" s="72"/>
      <c r="J132" s="72" t="s">
        <v>159</v>
      </c>
      <c r="K132" s="71" t="s">
        <v>667</v>
      </c>
      <c r="L132" s="75">
        <v>1</v>
      </c>
      <c r="M132" s="76">
        <v>4350.091796875</v>
      </c>
      <c r="N132" s="76">
        <v>8472.52734375</v>
      </c>
      <c r="O132" s="77"/>
      <c r="P132" s="78"/>
      <c r="Q132" s="78"/>
      <c r="R132" s="89"/>
      <c r="S132" s="49">
        <v>0</v>
      </c>
      <c r="T132" s="49">
        <v>1</v>
      </c>
      <c r="U132" s="50">
        <v>0</v>
      </c>
      <c r="V132" s="50">
        <v>0.256952</v>
      </c>
      <c r="W132" s="50">
        <v>0.071778</v>
      </c>
      <c r="X132" s="50">
        <v>0.004811</v>
      </c>
      <c r="Y132" s="50">
        <v>0</v>
      </c>
      <c r="Z132" s="50">
        <v>0</v>
      </c>
      <c r="AA132" s="73">
        <v>132</v>
      </c>
      <c r="AB132" s="73"/>
      <c r="AC132" s="74"/>
      <c r="AD132" s="81" t="s">
        <v>667</v>
      </c>
      <c r="AE132" s="81"/>
      <c r="AF132" s="81"/>
      <c r="AG132" s="81"/>
      <c r="AH132" s="81"/>
      <c r="AI132" s="81" t="s">
        <v>1004</v>
      </c>
      <c r="AJ132" s="85">
        <v>41735.75021990741</v>
      </c>
      <c r="AK132" s="83" t="str">
        <f>HYPERLINK("https://yt3.ggpht.com/ytc/AOPolaRx04mCQGHsu60q_hSHw4TXNnRqNWsTJvxORQ=s88-c-k-c0x00ffffff-no-rj")</f>
        <v>https://yt3.ggpht.com/ytc/AOPolaRx04mCQGHsu60q_hSHw4TXNnRqNWsTJvxORQ=s88-c-k-c0x00ffffff-no-rj</v>
      </c>
      <c r="AL132" s="81">
        <v>0</v>
      </c>
      <c r="AM132" s="81">
        <v>0</v>
      </c>
      <c r="AN132" s="81">
        <v>0</v>
      </c>
      <c r="AO132" s="81" t="b">
        <v>0</v>
      </c>
      <c r="AP132" s="81">
        <v>0</v>
      </c>
      <c r="AQ132" s="81"/>
      <c r="AR132" s="81"/>
      <c r="AS132" s="81" t="s">
        <v>1057</v>
      </c>
      <c r="AT132" s="83" t="str">
        <f>HYPERLINK("https://www.youtube.com/channel/UCX-rsu7tL2MC2rXtP06PuZA")</f>
        <v>https://www.youtube.com/channel/UCX-rsu7tL2MC2rXtP06PuZA</v>
      </c>
      <c r="AU132" s="81">
        <v>1</v>
      </c>
      <c r="AV132" s="49">
        <v>4</v>
      </c>
      <c r="AW132" s="50">
        <v>8.333333333333334</v>
      </c>
      <c r="AX132" s="49">
        <v>0</v>
      </c>
      <c r="AY132" s="50">
        <v>0</v>
      </c>
      <c r="AZ132" s="49">
        <v>0</v>
      </c>
      <c r="BA132" s="50">
        <v>0</v>
      </c>
      <c r="BB132" s="49">
        <v>13</v>
      </c>
      <c r="BC132" s="50">
        <v>27.083333333333332</v>
      </c>
      <c r="BD132" s="49">
        <v>48</v>
      </c>
      <c r="BE132" s="49"/>
      <c r="BF132" s="49"/>
      <c r="BG132" s="49"/>
      <c r="BH132" s="49"/>
      <c r="BI132" s="49"/>
      <c r="BJ132" s="49"/>
      <c r="BK132" s="115" t="s">
        <v>1172</v>
      </c>
      <c r="BL132" s="115" t="s">
        <v>1172</v>
      </c>
      <c r="BM132" s="115" t="s">
        <v>1296</v>
      </c>
      <c r="BN132" s="115" t="s">
        <v>1296</v>
      </c>
      <c r="BO132" s="2"/>
      <c r="BP132" s="3"/>
      <c r="BQ132" s="3"/>
      <c r="BR132" s="3"/>
      <c r="BS132" s="3"/>
    </row>
    <row r="133" spans="1:71" ht="15">
      <c r="A133" s="66" t="s">
        <v>351</v>
      </c>
      <c r="B133" s="67"/>
      <c r="C133" s="67"/>
      <c r="D133" s="68">
        <v>150</v>
      </c>
      <c r="E133" s="70"/>
      <c r="F133" s="103" t="str">
        <f>HYPERLINK("https://yt3.ggpht.com/ytc/AOPolaRxQbq-ITS1ecx69DNyvenwV3dOfj9twPofwQ=s88-c-k-c0x00ffffff-no-rj")</f>
        <v>https://yt3.ggpht.com/ytc/AOPolaRxQbq-ITS1ecx69DNyvenwV3dOfj9twPofwQ=s88-c-k-c0x00ffffff-no-rj</v>
      </c>
      <c r="G133" s="67"/>
      <c r="H133" s="71" t="s">
        <v>668</v>
      </c>
      <c r="I133" s="72"/>
      <c r="J133" s="72" t="s">
        <v>159</v>
      </c>
      <c r="K133" s="71" t="s">
        <v>668</v>
      </c>
      <c r="L133" s="75">
        <v>1</v>
      </c>
      <c r="M133" s="76">
        <v>2751.6328125</v>
      </c>
      <c r="N133" s="76">
        <v>190.13882446289062</v>
      </c>
      <c r="O133" s="77"/>
      <c r="P133" s="78"/>
      <c r="Q133" s="78"/>
      <c r="R133" s="89"/>
      <c r="S133" s="49">
        <v>0</v>
      </c>
      <c r="T133" s="49">
        <v>1</v>
      </c>
      <c r="U133" s="50">
        <v>0</v>
      </c>
      <c r="V133" s="50">
        <v>0.256952</v>
      </c>
      <c r="W133" s="50">
        <v>0.071778</v>
      </c>
      <c r="X133" s="50">
        <v>0.004811</v>
      </c>
      <c r="Y133" s="50">
        <v>0</v>
      </c>
      <c r="Z133" s="50">
        <v>0</v>
      </c>
      <c r="AA133" s="73">
        <v>133</v>
      </c>
      <c r="AB133" s="73"/>
      <c r="AC133" s="74"/>
      <c r="AD133" s="81" t="s">
        <v>668</v>
      </c>
      <c r="AE133" s="81"/>
      <c r="AF133" s="81"/>
      <c r="AG133" s="81"/>
      <c r="AH133" s="81"/>
      <c r="AI133" s="81" t="s">
        <v>1005</v>
      </c>
      <c r="AJ133" s="85">
        <v>40927.268958333334</v>
      </c>
      <c r="AK133" s="83" t="str">
        <f>HYPERLINK("https://yt3.ggpht.com/ytc/AOPolaRxQbq-ITS1ecx69DNyvenwV3dOfj9twPofwQ=s88-c-k-c0x00ffffff-no-rj")</f>
        <v>https://yt3.ggpht.com/ytc/AOPolaRxQbq-ITS1ecx69DNyvenwV3dOfj9twPofwQ=s88-c-k-c0x00ffffff-no-rj</v>
      </c>
      <c r="AL133" s="81">
        <v>408</v>
      </c>
      <c r="AM133" s="81">
        <v>0</v>
      </c>
      <c r="AN133" s="81">
        <v>0</v>
      </c>
      <c r="AO133" s="81" t="b">
        <v>0</v>
      </c>
      <c r="AP133" s="81">
        <v>2</v>
      </c>
      <c r="AQ133" s="81"/>
      <c r="AR133" s="81"/>
      <c r="AS133" s="81" t="s">
        <v>1057</v>
      </c>
      <c r="AT133" s="83" t="str">
        <f>HYPERLINK("https://www.youtube.com/channel/UCYJEJH2oquLGc7OhuFpLZ6Q")</f>
        <v>https://www.youtube.com/channel/UCYJEJH2oquLGc7OhuFpLZ6Q</v>
      </c>
      <c r="AU133" s="81">
        <v>1</v>
      </c>
      <c r="AV133" s="49">
        <v>1</v>
      </c>
      <c r="AW133" s="50">
        <v>6.25</v>
      </c>
      <c r="AX133" s="49">
        <v>1</v>
      </c>
      <c r="AY133" s="50">
        <v>6.25</v>
      </c>
      <c r="AZ133" s="49">
        <v>0</v>
      </c>
      <c r="BA133" s="50">
        <v>0</v>
      </c>
      <c r="BB133" s="49">
        <v>3</v>
      </c>
      <c r="BC133" s="50">
        <v>18.75</v>
      </c>
      <c r="BD133" s="49">
        <v>16</v>
      </c>
      <c r="BE133" s="49"/>
      <c r="BF133" s="49"/>
      <c r="BG133" s="49"/>
      <c r="BH133" s="49"/>
      <c r="BI133" s="49"/>
      <c r="BJ133" s="49"/>
      <c r="BK133" s="115" t="s">
        <v>1173</v>
      </c>
      <c r="BL133" s="115" t="s">
        <v>1173</v>
      </c>
      <c r="BM133" s="115" t="s">
        <v>1297</v>
      </c>
      <c r="BN133" s="115" t="s">
        <v>1297</v>
      </c>
      <c r="BO133" s="2"/>
      <c r="BP133" s="3"/>
      <c r="BQ133" s="3"/>
      <c r="BR133" s="3"/>
      <c r="BS133" s="3"/>
    </row>
    <row r="134" spans="1:71" ht="15">
      <c r="A134" s="66" t="s">
        <v>352</v>
      </c>
      <c r="B134" s="67"/>
      <c r="C134" s="67"/>
      <c r="D134" s="68">
        <v>150</v>
      </c>
      <c r="E134" s="70"/>
      <c r="F134" s="103" t="str">
        <f>HYPERLINK("https://yt3.ggpht.com/ytc/AOPolaSpcuT0A7sW_etV3OGY8mJ7i0ot8By7E-FGg-CrRA=s88-c-k-c0x00ffffff-no-rj")</f>
        <v>https://yt3.ggpht.com/ytc/AOPolaSpcuT0A7sW_etV3OGY8mJ7i0ot8By7E-FGg-CrRA=s88-c-k-c0x00ffffff-no-rj</v>
      </c>
      <c r="G134" s="67"/>
      <c r="H134" s="71" t="s">
        <v>669</v>
      </c>
      <c r="I134" s="72"/>
      <c r="J134" s="72" t="s">
        <v>159</v>
      </c>
      <c r="K134" s="71" t="s">
        <v>669</v>
      </c>
      <c r="L134" s="75">
        <v>1</v>
      </c>
      <c r="M134" s="76">
        <v>2405.744873046875</v>
      </c>
      <c r="N134" s="76">
        <v>190.13882446289062</v>
      </c>
      <c r="O134" s="77"/>
      <c r="P134" s="78"/>
      <c r="Q134" s="78"/>
      <c r="R134" s="89"/>
      <c r="S134" s="49">
        <v>0</v>
      </c>
      <c r="T134" s="49">
        <v>1</v>
      </c>
      <c r="U134" s="50">
        <v>0</v>
      </c>
      <c r="V134" s="50">
        <v>0.256952</v>
      </c>
      <c r="W134" s="50">
        <v>0.071778</v>
      </c>
      <c r="X134" s="50">
        <v>0.004811</v>
      </c>
      <c r="Y134" s="50">
        <v>0</v>
      </c>
      <c r="Z134" s="50">
        <v>0</v>
      </c>
      <c r="AA134" s="73">
        <v>134</v>
      </c>
      <c r="AB134" s="73"/>
      <c r="AC134" s="74"/>
      <c r="AD134" s="81" t="s">
        <v>669</v>
      </c>
      <c r="AE134" s="81"/>
      <c r="AF134" s="81"/>
      <c r="AG134" s="81"/>
      <c r="AH134" s="81"/>
      <c r="AI134" s="81" t="s">
        <v>1006</v>
      </c>
      <c r="AJ134" s="85">
        <v>43052.15212962963</v>
      </c>
      <c r="AK134" s="83" t="str">
        <f>HYPERLINK("https://yt3.ggpht.com/ytc/AOPolaSpcuT0A7sW_etV3OGY8mJ7i0ot8By7E-FGg-CrRA=s88-c-k-c0x00ffffff-no-rj")</f>
        <v>https://yt3.ggpht.com/ytc/AOPolaSpcuT0A7sW_etV3OGY8mJ7i0ot8By7E-FGg-CrRA=s88-c-k-c0x00ffffff-no-rj</v>
      </c>
      <c r="AL134" s="81">
        <v>0</v>
      </c>
      <c r="AM134" s="81">
        <v>0</v>
      </c>
      <c r="AN134" s="81">
        <v>25</v>
      </c>
      <c r="AO134" s="81" t="b">
        <v>0</v>
      </c>
      <c r="AP134" s="81">
        <v>0</v>
      </c>
      <c r="AQ134" s="81"/>
      <c r="AR134" s="81"/>
      <c r="AS134" s="81" t="s">
        <v>1057</v>
      </c>
      <c r="AT134" s="83" t="str">
        <f>HYPERLINK("https://www.youtube.com/channel/UCMtWzzIWhCQTXluffXezc5A")</f>
        <v>https://www.youtube.com/channel/UCMtWzzIWhCQTXluffXezc5A</v>
      </c>
      <c r="AU134" s="81">
        <v>1</v>
      </c>
      <c r="AV134" s="49">
        <v>2</v>
      </c>
      <c r="AW134" s="50">
        <v>7.407407407407407</v>
      </c>
      <c r="AX134" s="49">
        <v>0</v>
      </c>
      <c r="AY134" s="50">
        <v>0</v>
      </c>
      <c r="AZ134" s="49">
        <v>0</v>
      </c>
      <c r="BA134" s="50">
        <v>0</v>
      </c>
      <c r="BB134" s="49">
        <v>7</v>
      </c>
      <c r="BC134" s="50">
        <v>25.925925925925927</v>
      </c>
      <c r="BD134" s="49">
        <v>27</v>
      </c>
      <c r="BE134" s="49"/>
      <c r="BF134" s="49"/>
      <c r="BG134" s="49"/>
      <c r="BH134" s="49"/>
      <c r="BI134" s="49"/>
      <c r="BJ134" s="49"/>
      <c r="BK134" s="115" t="s">
        <v>1682</v>
      </c>
      <c r="BL134" s="115" t="s">
        <v>1682</v>
      </c>
      <c r="BM134" s="115" t="s">
        <v>1688</v>
      </c>
      <c r="BN134" s="115" t="s">
        <v>1688</v>
      </c>
      <c r="BO134" s="2"/>
      <c r="BP134" s="3"/>
      <c r="BQ134" s="3"/>
      <c r="BR134" s="3"/>
      <c r="BS134" s="3"/>
    </row>
    <row r="135" spans="1:71" ht="15">
      <c r="A135" s="66" t="s">
        <v>353</v>
      </c>
      <c r="B135" s="67"/>
      <c r="C135" s="67"/>
      <c r="D135" s="68">
        <v>150</v>
      </c>
      <c r="E135" s="70"/>
      <c r="F135" s="103" t="str">
        <f>HYPERLINK("https://yt3.ggpht.com/G3sg38vqwyI2WHj5f09qr6eYoGzcMC3tHr-_LXjEeR27lUT3fi21qCgUgblaCJ2J-GQC1cKzZg=s88-c-k-c0x00ffffff-no-rj")</f>
        <v>https://yt3.ggpht.com/G3sg38vqwyI2WHj5f09qr6eYoGzcMC3tHr-_LXjEeR27lUT3fi21qCgUgblaCJ2J-GQC1cKzZg=s88-c-k-c0x00ffffff-no-rj</v>
      </c>
      <c r="G135" s="67"/>
      <c r="H135" s="71" t="s">
        <v>670</v>
      </c>
      <c r="I135" s="72"/>
      <c r="J135" s="72" t="s">
        <v>159</v>
      </c>
      <c r="K135" s="71" t="s">
        <v>670</v>
      </c>
      <c r="L135" s="75">
        <v>1</v>
      </c>
      <c r="M135" s="76">
        <v>2684.451904296875</v>
      </c>
      <c r="N135" s="76">
        <v>9808.861328125</v>
      </c>
      <c r="O135" s="77"/>
      <c r="P135" s="78"/>
      <c r="Q135" s="78"/>
      <c r="R135" s="89"/>
      <c r="S135" s="49">
        <v>0</v>
      </c>
      <c r="T135" s="49">
        <v>1</v>
      </c>
      <c r="U135" s="50">
        <v>0</v>
      </c>
      <c r="V135" s="50">
        <v>0.256952</v>
      </c>
      <c r="W135" s="50">
        <v>0.071778</v>
      </c>
      <c r="X135" s="50">
        <v>0.004811</v>
      </c>
      <c r="Y135" s="50">
        <v>0</v>
      </c>
      <c r="Z135" s="50">
        <v>0</v>
      </c>
      <c r="AA135" s="73">
        <v>135</v>
      </c>
      <c r="AB135" s="73"/>
      <c r="AC135" s="74"/>
      <c r="AD135" s="81" t="s">
        <v>670</v>
      </c>
      <c r="AE135" s="81" t="s">
        <v>845</v>
      </c>
      <c r="AF135" s="81"/>
      <c r="AG135" s="81"/>
      <c r="AH135" s="81"/>
      <c r="AI135" s="81" t="s">
        <v>1007</v>
      </c>
      <c r="AJ135" s="85">
        <v>42566.97571759259</v>
      </c>
      <c r="AK135" s="83" t="str">
        <f>HYPERLINK("https://yt3.ggpht.com/G3sg38vqwyI2WHj5f09qr6eYoGzcMC3tHr-_LXjEeR27lUT3fi21qCgUgblaCJ2J-GQC1cKzZg=s88-c-k-c0x00ffffff-no-rj")</f>
        <v>https://yt3.ggpht.com/G3sg38vqwyI2WHj5f09qr6eYoGzcMC3tHr-_LXjEeR27lUT3fi21qCgUgblaCJ2J-GQC1cKzZg=s88-c-k-c0x00ffffff-no-rj</v>
      </c>
      <c r="AL135" s="81">
        <v>3996</v>
      </c>
      <c r="AM135" s="81">
        <v>0</v>
      </c>
      <c r="AN135" s="81">
        <v>74</v>
      </c>
      <c r="AO135" s="81" t="b">
        <v>0</v>
      </c>
      <c r="AP135" s="81">
        <v>105</v>
      </c>
      <c r="AQ135" s="81"/>
      <c r="AR135" s="81"/>
      <c r="AS135" s="81" t="s">
        <v>1057</v>
      </c>
      <c r="AT135" s="83" t="str">
        <f>HYPERLINK("https://www.youtube.com/channel/UCdPa1hLybim7XHwo38VsbYw")</f>
        <v>https://www.youtube.com/channel/UCdPa1hLybim7XHwo38VsbYw</v>
      </c>
      <c r="AU135" s="81">
        <v>1</v>
      </c>
      <c r="AV135" s="49">
        <v>2</v>
      </c>
      <c r="AW135" s="50">
        <v>66.66666666666667</v>
      </c>
      <c r="AX135" s="49">
        <v>0</v>
      </c>
      <c r="AY135" s="50">
        <v>0</v>
      </c>
      <c r="AZ135" s="49">
        <v>0</v>
      </c>
      <c r="BA135" s="50">
        <v>0</v>
      </c>
      <c r="BB135" s="49">
        <v>0</v>
      </c>
      <c r="BC135" s="50">
        <v>0</v>
      </c>
      <c r="BD135" s="49">
        <v>3</v>
      </c>
      <c r="BE135" s="49"/>
      <c r="BF135" s="49"/>
      <c r="BG135" s="49"/>
      <c r="BH135" s="49"/>
      <c r="BI135" s="49"/>
      <c r="BJ135" s="49"/>
      <c r="BK135" s="115" t="s">
        <v>1174</v>
      </c>
      <c r="BL135" s="115" t="s">
        <v>1174</v>
      </c>
      <c r="BM135" s="115" t="s">
        <v>1298</v>
      </c>
      <c r="BN135" s="115" t="s">
        <v>1298</v>
      </c>
      <c r="BO135" s="2"/>
      <c r="BP135" s="3"/>
      <c r="BQ135" s="3"/>
      <c r="BR135" s="3"/>
      <c r="BS135" s="3"/>
    </row>
    <row r="136" spans="1:71" ht="15">
      <c r="A136" s="66" t="s">
        <v>354</v>
      </c>
      <c r="B136" s="67"/>
      <c r="C136" s="67"/>
      <c r="D136" s="68">
        <v>150</v>
      </c>
      <c r="E136" s="70"/>
      <c r="F136" s="103" t="str">
        <f>HYPERLINK("https://yt3.ggpht.com/ytc/AOPolaSxY5X1Ve0G_jdLXc3-ezhzAXZJCUulA98zAqfM8A=s88-c-k-c0x00ffffff-no-rj")</f>
        <v>https://yt3.ggpht.com/ytc/AOPolaSxY5X1Ve0G_jdLXc3-ezhzAXZJCUulA98zAqfM8A=s88-c-k-c0x00ffffff-no-rj</v>
      </c>
      <c r="G136" s="67"/>
      <c r="H136" s="71" t="s">
        <v>671</v>
      </c>
      <c r="I136" s="72"/>
      <c r="J136" s="72" t="s">
        <v>159</v>
      </c>
      <c r="K136" s="71" t="s">
        <v>671</v>
      </c>
      <c r="L136" s="75">
        <v>1</v>
      </c>
      <c r="M136" s="76">
        <v>522.3067016601562</v>
      </c>
      <c r="N136" s="76">
        <v>4405.0546875</v>
      </c>
      <c r="O136" s="77"/>
      <c r="P136" s="78"/>
      <c r="Q136" s="78"/>
      <c r="R136" s="89"/>
      <c r="S136" s="49">
        <v>0</v>
      </c>
      <c r="T136" s="49">
        <v>1</v>
      </c>
      <c r="U136" s="50">
        <v>0</v>
      </c>
      <c r="V136" s="50">
        <v>0.256952</v>
      </c>
      <c r="W136" s="50">
        <v>0.071778</v>
      </c>
      <c r="X136" s="50">
        <v>0.004811</v>
      </c>
      <c r="Y136" s="50">
        <v>0</v>
      </c>
      <c r="Z136" s="50">
        <v>0</v>
      </c>
      <c r="AA136" s="73">
        <v>136</v>
      </c>
      <c r="AB136" s="73"/>
      <c r="AC136" s="74"/>
      <c r="AD136" s="81" t="s">
        <v>671</v>
      </c>
      <c r="AE136" s="81"/>
      <c r="AF136" s="81"/>
      <c r="AG136" s="81"/>
      <c r="AH136" s="81"/>
      <c r="AI136" s="81" t="s">
        <v>1008</v>
      </c>
      <c r="AJ136" s="85">
        <v>42431.95322916667</v>
      </c>
      <c r="AK136" s="83" t="str">
        <f>HYPERLINK("https://yt3.ggpht.com/ytc/AOPolaSxY5X1Ve0G_jdLXc3-ezhzAXZJCUulA98zAqfM8A=s88-c-k-c0x00ffffff-no-rj")</f>
        <v>https://yt3.ggpht.com/ytc/AOPolaSxY5X1Ve0G_jdLXc3-ezhzAXZJCUulA98zAqfM8A=s88-c-k-c0x00ffffff-no-rj</v>
      </c>
      <c r="AL136" s="81">
        <v>0</v>
      </c>
      <c r="AM136" s="81">
        <v>0</v>
      </c>
      <c r="AN136" s="81">
        <v>41</v>
      </c>
      <c r="AO136" s="81" t="b">
        <v>0</v>
      </c>
      <c r="AP136" s="81">
        <v>0</v>
      </c>
      <c r="AQ136" s="81"/>
      <c r="AR136" s="81"/>
      <c r="AS136" s="81" t="s">
        <v>1057</v>
      </c>
      <c r="AT136" s="83" t="str">
        <f>HYPERLINK("https://www.youtube.com/channel/UC3H22zDC6zESdN96sz_FBTw")</f>
        <v>https://www.youtube.com/channel/UC3H22zDC6zESdN96sz_FBTw</v>
      </c>
      <c r="AU136" s="81">
        <v>1</v>
      </c>
      <c r="AV136" s="49">
        <v>4</v>
      </c>
      <c r="AW136" s="50">
        <v>19.047619047619047</v>
      </c>
      <c r="AX136" s="49">
        <v>0</v>
      </c>
      <c r="AY136" s="50">
        <v>0</v>
      </c>
      <c r="AZ136" s="49">
        <v>0</v>
      </c>
      <c r="BA136" s="50">
        <v>0</v>
      </c>
      <c r="BB136" s="49">
        <v>5</v>
      </c>
      <c r="BC136" s="50">
        <v>23.80952380952381</v>
      </c>
      <c r="BD136" s="49">
        <v>21</v>
      </c>
      <c r="BE136" s="49"/>
      <c r="BF136" s="49"/>
      <c r="BG136" s="49"/>
      <c r="BH136" s="49"/>
      <c r="BI136" s="49"/>
      <c r="BJ136" s="49"/>
      <c r="BK136" s="115" t="s">
        <v>1175</v>
      </c>
      <c r="BL136" s="115" t="s">
        <v>1175</v>
      </c>
      <c r="BM136" s="115" t="s">
        <v>1299</v>
      </c>
      <c r="BN136" s="115" t="s">
        <v>1299</v>
      </c>
      <c r="BO136" s="2"/>
      <c r="BP136" s="3"/>
      <c r="BQ136" s="3"/>
      <c r="BR136" s="3"/>
      <c r="BS136" s="3"/>
    </row>
    <row r="137" spans="1:71" ht="15">
      <c r="A137" s="66" t="s">
        <v>355</v>
      </c>
      <c r="B137" s="67"/>
      <c r="C137" s="67"/>
      <c r="D137" s="68">
        <v>150</v>
      </c>
      <c r="E137" s="70"/>
      <c r="F137" s="103" t="str">
        <f>HYPERLINK("https://yt3.ggpht.com/ytc/AOPolaTle7VIhtOfWUZwBs9SmpKPz5-XF4GeuHE3mg=s88-c-k-c0x00ffffff-no-rj")</f>
        <v>https://yt3.ggpht.com/ytc/AOPolaTle7VIhtOfWUZwBs9SmpKPz5-XF4GeuHE3mg=s88-c-k-c0x00ffffff-no-rj</v>
      </c>
      <c r="G137" s="67"/>
      <c r="H137" s="71" t="s">
        <v>672</v>
      </c>
      <c r="I137" s="72"/>
      <c r="J137" s="72" t="s">
        <v>159</v>
      </c>
      <c r="K137" s="71" t="s">
        <v>672</v>
      </c>
      <c r="L137" s="75">
        <v>1</v>
      </c>
      <c r="M137" s="76">
        <v>1943.4410400390625</v>
      </c>
      <c r="N137" s="76">
        <v>1281.8792724609375</v>
      </c>
      <c r="O137" s="77"/>
      <c r="P137" s="78"/>
      <c r="Q137" s="78"/>
      <c r="R137" s="89"/>
      <c r="S137" s="49">
        <v>0</v>
      </c>
      <c r="T137" s="49">
        <v>1</v>
      </c>
      <c r="U137" s="50">
        <v>0</v>
      </c>
      <c r="V137" s="50">
        <v>0.256952</v>
      </c>
      <c r="W137" s="50">
        <v>0.071778</v>
      </c>
      <c r="X137" s="50">
        <v>0.004811</v>
      </c>
      <c r="Y137" s="50">
        <v>0</v>
      </c>
      <c r="Z137" s="50">
        <v>0</v>
      </c>
      <c r="AA137" s="73">
        <v>137</v>
      </c>
      <c r="AB137" s="73"/>
      <c r="AC137" s="74"/>
      <c r="AD137" s="81" t="s">
        <v>672</v>
      </c>
      <c r="AE137" s="81"/>
      <c r="AF137" s="81"/>
      <c r="AG137" s="81"/>
      <c r="AH137" s="81"/>
      <c r="AI137" s="81" t="s">
        <v>1009</v>
      </c>
      <c r="AJ137" s="85">
        <v>41966.348229166666</v>
      </c>
      <c r="AK137" s="83" t="str">
        <f>HYPERLINK("https://yt3.ggpht.com/ytc/AOPolaTle7VIhtOfWUZwBs9SmpKPz5-XF4GeuHE3mg=s88-c-k-c0x00ffffff-no-rj")</f>
        <v>https://yt3.ggpht.com/ytc/AOPolaTle7VIhtOfWUZwBs9SmpKPz5-XF4GeuHE3mg=s88-c-k-c0x00ffffff-no-rj</v>
      </c>
      <c r="AL137" s="81">
        <v>0</v>
      </c>
      <c r="AM137" s="81">
        <v>0</v>
      </c>
      <c r="AN137" s="81">
        <v>0</v>
      </c>
      <c r="AO137" s="81" t="b">
        <v>0</v>
      </c>
      <c r="AP137" s="81">
        <v>0</v>
      </c>
      <c r="AQ137" s="81"/>
      <c r="AR137" s="81"/>
      <c r="AS137" s="81" t="s">
        <v>1057</v>
      </c>
      <c r="AT137" s="83" t="str">
        <f>HYPERLINK("https://www.youtube.com/channel/UCls5dO55jPdBcmsJ82Z0dSw")</f>
        <v>https://www.youtube.com/channel/UCls5dO55jPdBcmsJ82Z0dSw</v>
      </c>
      <c r="AU137" s="81">
        <v>1</v>
      </c>
      <c r="AV137" s="49">
        <v>1</v>
      </c>
      <c r="AW137" s="50">
        <v>2.3255813953488373</v>
      </c>
      <c r="AX137" s="49">
        <v>2</v>
      </c>
      <c r="AY137" s="50">
        <v>4.651162790697675</v>
      </c>
      <c r="AZ137" s="49">
        <v>0</v>
      </c>
      <c r="BA137" s="50">
        <v>0</v>
      </c>
      <c r="BB137" s="49">
        <v>11</v>
      </c>
      <c r="BC137" s="50">
        <v>25.58139534883721</v>
      </c>
      <c r="BD137" s="49">
        <v>43</v>
      </c>
      <c r="BE137" s="49"/>
      <c r="BF137" s="49"/>
      <c r="BG137" s="49"/>
      <c r="BH137" s="49"/>
      <c r="BI137" s="49"/>
      <c r="BJ137" s="49"/>
      <c r="BK137" s="115" t="s">
        <v>1176</v>
      </c>
      <c r="BL137" s="115" t="s">
        <v>1176</v>
      </c>
      <c r="BM137" s="115" t="s">
        <v>1300</v>
      </c>
      <c r="BN137" s="115" t="s">
        <v>1300</v>
      </c>
      <c r="BO137" s="2"/>
      <c r="BP137" s="3"/>
      <c r="BQ137" s="3"/>
      <c r="BR137" s="3"/>
      <c r="BS137" s="3"/>
    </row>
    <row r="138" spans="1:71" ht="15">
      <c r="A138" s="66" t="s">
        <v>356</v>
      </c>
      <c r="B138" s="67"/>
      <c r="C138" s="67"/>
      <c r="D138" s="68">
        <v>150</v>
      </c>
      <c r="E138" s="70"/>
      <c r="F138" s="103" t="str">
        <f>HYPERLINK("https://yt3.ggpht.com/ytc/AOPolaTbm-hw3CGbz_YIuIVqkOZ6H2OwGDvO77Vw4w=s88-c-k-c0x00ffffff-no-rj")</f>
        <v>https://yt3.ggpht.com/ytc/AOPolaTbm-hw3CGbz_YIuIVqkOZ6H2OwGDvO77Vw4w=s88-c-k-c0x00ffffff-no-rj</v>
      </c>
      <c r="G138" s="67"/>
      <c r="H138" s="71" t="s">
        <v>673</v>
      </c>
      <c r="I138" s="72"/>
      <c r="J138" s="72" t="s">
        <v>159</v>
      </c>
      <c r="K138" s="71" t="s">
        <v>673</v>
      </c>
      <c r="L138" s="75">
        <v>1</v>
      </c>
      <c r="M138" s="76">
        <v>737.7937622070312</v>
      </c>
      <c r="N138" s="76">
        <v>3574.36328125</v>
      </c>
      <c r="O138" s="77"/>
      <c r="P138" s="78"/>
      <c r="Q138" s="78"/>
      <c r="R138" s="89"/>
      <c r="S138" s="49">
        <v>0</v>
      </c>
      <c r="T138" s="49">
        <v>1</v>
      </c>
      <c r="U138" s="50">
        <v>0</v>
      </c>
      <c r="V138" s="50">
        <v>0.256952</v>
      </c>
      <c r="W138" s="50">
        <v>0.071778</v>
      </c>
      <c r="X138" s="50">
        <v>0.004811</v>
      </c>
      <c r="Y138" s="50">
        <v>0</v>
      </c>
      <c r="Z138" s="50">
        <v>0</v>
      </c>
      <c r="AA138" s="73">
        <v>138</v>
      </c>
      <c r="AB138" s="73"/>
      <c r="AC138" s="74"/>
      <c r="AD138" s="81" t="s">
        <v>673</v>
      </c>
      <c r="AE138" s="81"/>
      <c r="AF138" s="81"/>
      <c r="AG138" s="81"/>
      <c r="AH138" s="81"/>
      <c r="AI138" s="81" t="s">
        <v>1010</v>
      </c>
      <c r="AJ138" s="85">
        <v>40706.043125</v>
      </c>
      <c r="AK138" s="83" t="str">
        <f>HYPERLINK("https://yt3.ggpht.com/ytc/AOPolaTbm-hw3CGbz_YIuIVqkOZ6H2OwGDvO77Vw4w=s88-c-k-c0x00ffffff-no-rj")</f>
        <v>https://yt3.ggpht.com/ytc/AOPolaTbm-hw3CGbz_YIuIVqkOZ6H2OwGDvO77Vw4w=s88-c-k-c0x00ffffff-no-rj</v>
      </c>
      <c r="AL138" s="81">
        <v>0</v>
      </c>
      <c r="AM138" s="81">
        <v>0</v>
      </c>
      <c r="AN138" s="81">
        <v>5</v>
      </c>
      <c r="AO138" s="81" t="b">
        <v>0</v>
      </c>
      <c r="AP138" s="81">
        <v>0</v>
      </c>
      <c r="AQ138" s="81"/>
      <c r="AR138" s="81"/>
      <c r="AS138" s="81" t="s">
        <v>1057</v>
      </c>
      <c r="AT138" s="83" t="str">
        <f>HYPERLINK("https://www.youtube.com/channel/UC35jHN7lZNm5bbwDecwYOHw")</f>
        <v>https://www.youtube.com/channel/UC35jHN7lZNm5bbwDecwYOHw</v>
      </c>
      <c r="AU138" s="81">
        <v>1</v>
      </c>
      <c r="AV138" s="49">
        <v>1</v>
      </c>
      <c r="AW138" s="50">
        <v>11.11111111111111</v>
      </c>
      <c r="AX138" s="49">
        <v>0</v>
      </c>
      <c r="AY138" s="50">
        <v>0</v>
      </c>
      <c r="AZ138" s="49">
        <v>0</v>
      </c>
      <c r="BA138" s="50">
        <v>0</v>
      </c>
      <c r="BB138" s="49">
        <v>1</v>
      </c>
      <c r="BC138" s="50">
        <v>11.11111111111111</v>
      </c>
      <c r="BD138" s="49">
        <v>9</v>
      </c>
      <c r="BE138" s="49"/>
      <c r="BF138" s="49"/>
      <c r="BG138" s="49"/>
      <c r="BH138" s="49"/>
      <c r="BI138" s="49"/>
      <c r="BJ138" s="49"/>
      <c r="BK138" s="115" t="s">
        <v>1177</v>
      </c>
      <c r="BL138" s="115" t="s">
        <v>1177</v>
      </c>
      <c r="BM138" s="115" t="s">
        <v>1301</v>
      </c>
      <c r="BN138" s="115" t="s">
        <v>1301</v>
      </c>
      <c r="BO138" s="2"/>
      <c r="BP138" s="3"/>
      <c r="BQ138" s="3"/>
      <c r="BR138" s="3"/>
      <c r="BS138" s="3"/>
    </row>
    <row r="139" spans="1:71" ht="15">
      <c r="A139" s="66" t="s">
        <v>357</v>
      </c>
      <c r="B139" s="67"/>
      <c r="C139" s="67"/>
      <c r="D139" s="68">
        <v>150</v>
      </c>
      <c r="E139" s="70"/>
      <c r="F139" s="103" t="str">
        <f>HYPERLINK("https://yt3.ggpht.com/ytc/AOPolaS8_b03RSzvXcOZK5dIl51b3FdoqwUSQirXbvzNlw0=s88-c-k-c0x00ffffff-no-rj")</f>
        <v>https://yt3.ggpht.com/ytc/AOPolaS8_b03RSzvXcOZK5dIl51b3FdoqwUSQirXbvzNlw0=s88-c-k-c0x00ffffff-no-rj</v>
      </c>
      <c r="G139" s="67"/>
      <c r="H139" s="71" t="s">
        <v>674</v>
      </c>
      <c r="I139" s="72"/>
      <c r="J139" s="72" t="s">
        <v>159</v>
      </c>
      <c r="K139" s="71" t="s">
        <v>674</v>
      </c>
      <c r="L139" s="75">
        <v>1</v>
      </c>
      <c r="M139" s="76">
        <v>154.85870361328125</v>
      </c>
      <c r="N139" s="76">
        <v>4006.26171875</v>
      </c>
      <c r="O139" s="77"/>
      <c r="P139" s="78"/>
      <c r="Q139" s="78"/>
      <c r="R139" s="89"/>
      <c r="S139" s="49">
        <v>0</v>
      </c>
      <c r="T139" s="49">
        <v>1</v>
      </c>
      <c r="U139" s="50">
        <v>0</v>
      </c>
      <c r="V139" s="50">
        <v>0.256952</v>
      </c>
      <c r="W139" s="50">
        <v>0.071778</v>
      </c>
      <c r="X139" s="50">
        <v>0.004811</v>
      </c>
      <c r="Y139" s="50">
        <v>0</v>
      </c>
      <c r="Z139" s="50">
        <v>0</v>
      </c>
      <c r="AA139" s="73">
        <v>139</v>
      </c>
      <c r="AB139" s="73"/>
      <c r="AC139" s="74"/>
      <c r="AD139" s="81" t="s">
        <v>674</v>
      </c>
      <c r="AE139" s="81" t="s">
        <v>846</v>
      </c>
      <c r="AF139" s="81"/>
      <c r="AG139" s="81"/>
      <c r="AH139" s="81"/>
      <c r="AI139" s="81" t="s">
        <v>1011</v>
      </c>
      <c r="AJ139" s="85">
        <v>41358.11041666667</v>
      </c>
      <c r="AK139" s="83" t="str">
        <f>HYPERLINK("https://yt3.ggpht.com/ytc/AOPolaS8_b03RSzvXcOZK5dIl51b3FdoqwUSQirXbvzNlw0=s88-c-k-c0x00ffffff-no-rj")</f>
        <v>https://yt3.ggpht.com/ytc/AOPolaS8_b03RSzvXcOZK5dIl51b3FdoqwUSQirXbvzNlw0=s88-c-k-c0x00ffffff-no-rj</v>
      </c>
      <c r="AL139" s="81">
        <v>121</v>
      </c>
      <c r="AM139" s="81">
        <v>0</v>
      </c>
      <c r="AN139" s="81">
        <v>12</v>
      </c>
      <c r="AO139" s="81" t="b">
        <v>0</v>
      </c>
      <c r="AP139" s="81">
        <v>6</v>
      </c>
      <c r="AQ139" s="81"/>
      <c r="AR139" s="81"/>
      <c r="AS139" s="81" t="s">
        <v>1057</v>
      </c>
      <c r="AT139" s="83" t="str">
        <f>HYPERLINK("https://www.youtube.com/channel/UCJe-QaoJy1Z6USj1jqkHsxg")</f>
        <v>https://www.youtube.com/channel/UCJe-QaoJy1Z6USj1jqkHsxg</v>
      </c>
      <c r="AU139" s="81">
        <v>1</v>
      </c>
      <c r="AV139" s="49">
        <v>6</v>
      </c>
      <c r="AW139" s="50">
        <v>8.823529411764707</v>
      </c>
      <c r="AX139" s="49">
        <v>0</v>
      </c>
      <c r="AY139" s="50">
        <v>0</v>
      </c>
      <c r="AZ139" s="49">
        <v>0</v>
      </c>
      <c r="BA139" s="50">
        <v>0</v>
      </c>
      <c r="BB139" s="49">
        <v>27</v>
      </c>
      <c r="BC139" s="50">
        <v>39.705882352941174</v>
      </c>
      <c r="BD139" s="49">
        <v>68</v>
      </c>
      <c r="BE139" s="49"/>
      <c r="BF139" s="49"/>
      <c r="BG139" s="49"/>
      <c r="BH139" s="49"/>
      <c r="BI139" s="49"/>
      <c r="BJ139" s="49"/>
      <c r="BK139" s="115" t="s">
        <v>1178</v>
      </c>
      <c r="BL139" s="115" t="s">
        <v>1178</v>
      </c>
      <c r="BM139" s="115" t="s">
        <v>1302</v>
      </c>
      <c r="BN139" s="115" t="s">
        <v>1302</v>
      </c>
      <c r="BO139" s="2"/>
      <c r="BP139" s="3"/>
      <c r="BQ139" s="3"/>
      <c r="BR139" s="3"/>
      <c r="BS139" s="3"/>
    </row>
    <row r="140" spans="1:71" ht="15">
      <c r="A140" s="66" t="s">
        <v>358</v>
      </c>
      <c r="B140" s="67"/>
      <c r="C140" s="67"/>
      <c r="D140" s="68">
        <v>150</v>
      </c>
      <c r="E140" s="70"/>
      <c r="F140" s="103" t="str">
        <f>HYPERLINK("https://yt3.ggpht.com/zW-5bZfPSo8C3s2Bl9qPlouNg2J19wkjMiKAyYJWpWo2vlIc7m6-sY96t6G_cAiUULsXZIwV=s88-c-k-c0x00ffffff-no-rj")</f>
        <v>https://yt3.ggpht.com/zW-5bZfPSo8C3s2Bl9qPlouNg2J19wkjMiKAyYJWpWo2vlIc7m6-sY96t6G_cAiUULsXZIwV=s88-c-k-c0x00ffffff-no-rj</v>
      </c>
      <c r="G140" s="67"/>
      <c r="H140" s="71" t="s">
        <v>675</v>
      </c>
      <c r="I140" s="72"/>
      <c r="J140" s="72" t="s">
        <v>159</v>
      </c>
      <c r="K140" s="71" t="s">
        <v>675</v>
      </c>
      <c r="L140" s="75">
        <v>1</v>
      </c>
      <c r="M140" s="76">
        <v>1796.301025390625</v>
      </c>
      <c r="N140" s="76">
        <v>5626.85498046875</v>
      </c>
      <c r="O140" s="77"/>
      <c r="P140" s="78"/>
      <c r="Q140" s="78"/>
      <c r="R140" s="89"/>
      <c r="S140" s="49">
        <v>0</v>
      </c>
      <c r="T140" s="49">
        <v>1</v>
      </c>
      <c r="U140" s="50">
        <v>0</v>
      </c>
      <c r="V140" s="50">
        <v>0.256952</v>
      </c>
      <c r="W140" s="50">
        <v>0.071778</v>
      </c>
      <c r="X140" s="50">
        <v>0.004811</v>
      </c>
      <c r="Y140" s="50">
        <v>0</v>
      </c>
      <c r="Z140" s="50">
        <v>0</v>
      </c>
      <c r="AA140" s="73">
        <v>140</v>
      </c>
      <c r="AB140" s="73"/>
      <c r="AC140" s="74"/>
      <c r="AD140" s="81" t="s">
        <v>675</v>
      </c>
      <c r="AE140" s="81" t="s">
        <v>847</v>
      </c>
      <c r="AF140" s="81"/>
      <c r="AG140" s="81"/>
      <c r="AH140" s="81"/>
      <c r="AI140" s="81" t="s">
        <v>1012</v>
      </c>
      <c r="AJ140" s="85">
        <v>42965.78666666667</v>
      </c>
      <c r="AK140" s="83" t="str">
        <f>HYPERLINK("https://yt3.ggpht.com/zW-5bZfPSo8C3s2Bl9qPlouNg2J19wkjMiKAyYJWpWo2vlIc7m6-sY96t6G_cAiUULsXZIwV=s88-c-k-c0x00ffffff-no-rj")</f>
        <v>https://yt3.ggpht.com/zW-5bZfPSo8C3s2Bl9qPlouNg2J19wkjMiKAyYJWpWo2vlIc7m6-sY96t6G_cAiUULsXZIwV=s88-c-k-c0x00ffffff-no-rj</v>
      </c>
      <c r="AL140" s="81">
        <v>180</v>
      </c>
      <c r="AM140" s="81">
        <v>0</v>
      </c>
      <c r="AN140" s="81">
        <v>2</v>
      </c>
      <c r="AO140" s="81" t="b">
        <v>0</v>
      </c>
      <c r="AP140" s="81">
        <v>4</v>
      </c>
      <c r="AQ140" s="81"/>
      <c r="AR140" s="81"/>
      <c r="AS140" s="81" t="s">
        <v>1057</v>
      </c>
      <c r="AT140" s="83" t="str">
        <f>HYPERLINK("https://www.youtube.com/channel/UCQ5YrWroyp2APoRpa-2Zr1g")</f>
        <v>https://www.youtube.com/channel/UCQ5YrWroyp2APoRpa-2Zr1g</v>
      </c>
      <c r="AU140" s="81">
        <v>1</v>
      </c>
      <c r="AV140" s="49">
        <v>1</v>
      </c>
      <c r="AW140" s="50">
        <v>4.761904761904762</v>
      </c>
      <c r="AX140" s="49">
        <v>0</v>
      </c>
      <c r="AY140" s="50">
        <v>0</v>
      </c>
      <c r="AZ140" s="49">
        <v>0</v>
      </c>
      <c r="BA140" s="50">
        <v>0</v>
      </c>
      <c r="BB140" s="49">
        <v>10</v>
      </c>
      <c r="BC140" s="50">
        <v>47.61904761904762</v>
      </c>
      <c r="BD140" s="49">
        <v>21</v>
      </c>
      <c r="BE140" s="49"/>
      <c r="BF140" s="49"/>
      <c r="BG140" s="49"/>
      <c r="BH140" s="49"/>
      <c r="BI140" s="49"/>
      <c r="BJ140" s="49"/>
      <c r="BK140" s="115" t="s">
        <v>1179</v>
      </c>
      <c r="BL140" s="115" t="s">
        <v>1179</v>
      </c>
      <c r="BM140" s="115" t="s">
        <v>1303</v>
      </c>
      <c r="BN140" s="115" t="s">
        <v>1303</v>
      </c>
      <c r="BO140" s="2"/>
      <c r="BP140" s="3"/>
      <c r="BQ140" s="3"/>
      <c r="BR140" s="3"/>
      <c r="BS140" s="3"/>
    </row>
    <row r="141" spans="1:71" ht="15">
      <c r="A141" s="66" t="s">
        <v>359</v>
      </c>
      <c r="B141" s="67"/>
      <c r="C141" s="67"/>
      <c r="D141" s="68">
        <v>150</v>
      </c>
      <c r="E141" s="70"/>
      <c r="F141" s="103" t="str">
        <f>HYPERLINK("https://yt3.ggpht.com/ytc/AOPolaTaIGDQmdxZHNtQIqUgYk6a20H2zrVxNU5nvjSDR8eTUsAiXY4wtxPeohefnZUF=s88-c-k-c0x00ffffff-no-rj")</f>
        <v>https://yt3.ggpht.com/ytc/AOPolaTaIGDQmdxZHNtQIqUgYk6a20H2zrVxNU5nvjSDR8eTUsAiXY4wtxPeohefnZUF=s88-c-k-c0x00ffffff-no-rj</v>
      </c>
      <c r="G141" s="67"/>
      <c r="H141" s="71" t="s">
        <v>676</v>
      </c>
      <c r="I141" s="72"/>
      <c r="J141" s="72" t="s">
        <v>159</v>
      </c>
      <c r="K141" s="71" t="s">
        <v>676</v>
      </c>
      <c r="L141" s="75">
        <v>1</v>
      </c>
      <c r="M141" s="76">
        <v>4777.55224609375</v>
      </c>
      <c r="N141" s="76">
        <v>7321.24267578125</v>
      </c>
      <c r="O141" s="77"/>
      <c r="P141" s="78"/>
      <c r="Q141" s="78"/>
      <c r="R141" s="89"/>
      <c r="S141" s="49">
        <v>0</v>
      </c>
      <c r="T141" s="49">
        <v>1</v>
      </c>
      <c r="U141" s="50">
        <v>0</v>
      </c>
      <c r="V141" s="50">
        <v>0.256952</v>
      </c>
      <c r="W141" s="50">
        <v>0.071778</v>
      </c>
      <c r="X141" s="50">
        <v>0.004811</v>
      </c>
      <c r="Y141" s="50">
        <v>0</v>
      </c>
      <c r="Z141" s="50">
        <v>0</v>
      </c>
      <c r="AA141" s="73">
        <v>141</v>
      </c>
      <c r="AB141" s="73"/>
      <c r="AC141" s="74"/>
      <c r="AD141" s="81" t="s">
        <v>676</v>
      </c>
      <c r="AE141" s="81"/>
      <c r="AF141" s="81"/>
      <c r="AG141" s="81"/>
      <c r="AH141" s="81"/>
      <c r="AI141" s="81" t="s">
        <v>1013</v>
      </c>
      <c r="AJ141" s="85">
        <v>43470.98645833333</v>
      </c>
      <c r="AK141" s="83" t="str">
        <f>HYPERLINK("https://yt3.ggpht.com/ytc/AOPolaTaIGDQmdxZHNtQIqUgYk6a20H2zrVxNU5nvjSDR8eTUsAiXY4wtxPeohefnZUF=s88-c-k-c0x00ffffff-no-rj")</f>
        <v>https://yt3.ggpht.com/ytc/AOPolaTaIGDQmdxZHNtQIqUgYk6a20H2zrVxNU5nvjSDR8eTUsAiXY4wtxPeohefnZUF=s88-c-k-c0x00ffffff-no-rj</v>
      </c>
      <c r="AL141" s="81">
        <v>0</v>
      </c>
      <c r="AM141" s="81">
        <v>0</v>
      </c>
      <c r="AN141" s="81">
        <v>8</v>
      </c>
      <c r="AO141" s="81" t="b">
        <v>0</v>
      </c>
      <c r="AP141" s="81">
        <v>0</v>
      </c>
      <c r="AQ141" s="81"/>
      <c r="AR141" s="81"/>
      <c r="AS141" s="81" t="s">
        <v>1057</v>
      </c>
      <c r="AT141" s="83" t="str">
        <f>HYPERLINK("https://www.youtube.com/channel/UCYpwE_ZWp_d1juqu_l7B6tA")</f>
        <v>https://www.youtube.com/channel/UCYpwE_ZWp_d1juqu_l7B6tA</v>
      </c>
      <c r="AU141" s="81">
        <v>1</v>
      </c>
      <c r="AV141" s="49">
        <v>1</v>
      </c>
      <c r="AW141" s="50">
        <v>1.9607843137254901</v>
      </c>
      <c r="AX141" s="49">
        <v>0</v>
      </c>
      <c r="AY141" s="50">
        <v>0</v>
      </c>
      <c r="AZ141" s="49">
        <v>0</v>
      </c>
      <c r="BA141" s="50">
        <v>0</v>
      </c>
      <c r="BB141" s="49">
        <v>11</v>
      </c>
      <c r="BC141" s="50">
        <v>21.568627450980394</v>
      </c>
      <c r="BD141" s="49">
        <v>51</v>
      </c>
      <c r="BE141" s="49"/>
      <c r="BF141" s="49"/>
      <c r="BG141" s="49"/>
      <c r="BH141" s="49"/>
      <c r="BI141" s="49"/>
      <c r="BJ141" s="49"/>
      <c r="BK141" s="115" t="s">
        <v>1180</v>
      </c>
      <c r="BL141" s="115" t="s">
        <v>1180</v>
      </c>
      <c r="BM141" s="115" t="s">
        <v>1304</v>
      </c>
      <c r="BN141" s="115" t="s">
        <v>1304</v>
      </c>
      <c r="BO141" s="2"/>
      <c r="BP141" s="3"/>
      <c r="BQ141" s="3"/>
      <c r="BR141" s="3"/>
      <c r="BS141" s="3"/>
    </row>
    <row r="142" spans="1:71" ht="15">
      <c r="A142" s="66" t="s">
        <v>360</v>
      </c>
      <c r="B142" s="67"/>
      <c r="C142" s="67"/>
      <c r="D142" s="68">
        <v>150</v>
      </c>
      <c r="E142" s="70"/>
      <c r="F142" s="103" t="str">
        <f>HYPERLINK("https://yt3.ggpht.com/ytc/AOPolaTXRVe5FoPQLCkfxf2ffU3IMIj9ZVJ9Bcn8uCVBJA=s88-c-k-c0x00ffffff-no-rj")</f>
        <v>https://yt3.ggpht.com/ytc/AOPolaTXRVe5FoPQLCkfxf2ffU3IMIj9ZVJ9Bcn8uCVBJA=s88-c-k-c0x00ffffff-no-rj</v>
      </c>
      <c r="G142" s="67"/>
      <c r="H142" s="71" t="s">
        <v>677</v>
      </c>
      <c r="I142" s="72"/>
      <c r="J142" s="72" t="s">
        <v>159</v>
      </c>
      <c r="K142" s="71" t="s">
        <v>677</v>
      </c>
      <c r="L142" s="75">
        <v>1</v>
      </c>
      <c r="M142" s="76">
        <v>5071.01953125</v>
      </c>
      <c r="N142" s="76">
        <v>4850.10693359375</v>
      </c>
      <c r="O142" s="77"/>
      <c r="P142" s="78"/>
      <c r="Q142" s="78"/>
      <c r="R142" s="89"/>
      <c r="S142" s="49">
        <v>0</v>
      </c>
      <c r="T142" s="49">
        <v>1</v>
      </c>
      <c r="U142" s="50">
        <v>0</v>
      </c>
      <c r="V142" s="50">
        <v>0.256952</v>
      </c>
      <c r="W142" s="50">
        <v>0.071778</v>
      </c>
      <c r="X142" s="50">
        <v>0.004811</v>
      </c>
      <c r="Y142" s="50">
        <v>0</v>
      </c>
      <c r="Z142" s="50">
        <v>0</v>
      </c>
      <c r="AA142" s="73">
        <v>142</v>
      </c>
      <c r="AB142" s="73"/>
      <c r="AC142" s="74"/>
      <c r="AD142" s="81" t="s">
        <v>677</v>
      </c>
      <c r="AE142" s="81"/>
      <c r="AF142" s="81"/>
      <c r="AG142" s="81"/>
      <c r="AH142" s="81"/>
      <c r="AI142" s="81" t="s">
        <v>1014</v>
      </c>
      <c r="AJ142" s="85">
        <v>40899.23638888889</v>
      </c>
      <c r="AK142" s="83" t="str">
        <f>HYPERLINK("https://yt3.ggpht.com/ytc/AOPolaTXRVe5FoPQLCkfxf2ffU3IMIj9ZVJ9Bcn8uCVBJA=s88-c-k-c0x00ffffff-no-rj")</f>
        <v>https://yt3.ggpht.com/ytc/AOPolaTXRVe5FoPQLCkfxf2ffU3IMIj9ZVJ9Bcn8uCVBJA=s88-c-k-c0x00ffffff-no-rj</v>
      </c>
      <c r="AL142" s="81">
        <v>0</v>
      </c>
      <c r="AM142" s="81">
        <v>0</v>
      </c>
      <c r="AN142" s="81">
        <v>3</v>
      </c>
      <c r="AO142" s="81" t="b">
        <v>0</v>
      </c>
      <c r="AP142" s="81">
        <v>0</v>
      </c>
      <c r="AQ142" s="81"/>
      <c r="AR142" s="81"/>
      <c r="AS142" s="81" t="s">
        <v>1057</v>
      </c>
      <c r="AT142" s="83" t="str">
        <f>HYPERLINK("https://www.youtube.com/channel/UCMmB-QL7OjIj3E4q0q4qUrA")</f>
        <v>https://www.youtube.com/channel/UCMmB-QL7OjIj3E4q0q4qUrA</v>
      </c>
      <c r="AU142" s="81">
        <v>1</v>
      </c>
      <c r="AV142" s="49">
        <v>0</v>
      </c>
      <c r="AW142" s="50">
        <v>0</v>
      </c>
      <c r="AX142" s="49">
        <v>0</v>
      </c>
      <c r="AY142" s="50">
        <v>0</v>
      </c>
      <c r="AZ142" s="49">
        <v>0</v>
      </c>
      <c r="BA142" s="50">
        <v>0</v>
      </c>
      <c r="BB142" s="49">
        <v>3</v>
      </c>
      <c r="BC142" s="50">
        <v>50</v>
      </c>
      <c r="BD142" s="49">
        <v>6</v>
      </c>
      <c r="BE142" s="49"/>
      <c r="BF142" s="49"/>
      <c r="BG142" s="49"/>
      <c r="BH142" s="49"/>
      <c r="BI142" s="49"/>
      <c r="BJ142" s="49"/>
      <c r="BK142" s="115" t="s">
        <v>1181</v>
      </c>
      <c r="BL142" s="115" t="s">
        <v>1181</v>
      </c>
      <c r="BM142" s="115" t="s">
        <v>1305</v>
      </c>
      <c r="BN142" s="115" t="s">
        <v>1305</v>
      </c>
      <c r="BO142" s="2"/>
      <c r="BP142" s="3"/>
      <c r="BQ142" s="3"/>
      <c r="BR142" s="3"/>
      <c r="BS142" s="3"/>
    </row>
    <row r="143" spans="1:71" ht="15">
      <c r="A143" s="66" t="s">
        <v>361</v>
      </c>
      <c r="B143" s="67"/>
      <c r="C143" s="67"/>
      <c r="D143" s="68">
        <v>150</v>
      </c>
      <c r="E143" s="70"/>
      <c r="F143" s="103" t="str">
        <f>HYPERLINK("https://yt3.ggpht.com/ytc/AOPolaQUJPec6CDmP3QxUGKjX2l_NTVasqMGwHS9AasGwA=s88-c-k-c0x00ffffff-no-rj")</f>
        <v>https://yt3.ggpht.com/ytc/AOPolaQUJPec6CDmP3QxUGKjX2l_NTVasqMGwHS9AasGwA=s88-c-k-c0x00ffffff-no-rj</v>
      </c>
      <c r="G143" s="67"/>
      <c r="H143" s="71" t="s">
        <v>678</v>
      </c>
      <c r="I143" s="72"/>
      <c r="J143" s="72" t="s">
        <v>159</v>
      </c>
      <c r="K143" s="71" t="s">
        <v>678</v>
      </c>
      <c r="L143" s="75">
        <v>1</v>
      </c>
      <c r="M143" s="76">
        <v>335.2585144042969</v>
      </c>
      <c r="N143" s="76">
        <v>6895.34375</v>
      </c>
      <c r="O143" s="77"/>
      <c r="P143" s="78"/>
      <c r="Q143" s="78"/>
      <c r="R143" s="89"/>
      <c r="S143" s="49">
        <v>0</v>
      </c>
      <c r="T143" s="49">
        <v>1</v>
      </c>
      <c r="U143" s="50">
        <v>0</v>
      </c>
      <c r="V143" s="50">
        <v>0.256952</v>
      </c>
      <c r="W143" s="50">
        <v>0.071778</v>
      </c>
      <c r="X143" s="50">
        <v>0.004811</v>
      </c>
      <c r="Y143" s="50">
        <v>0</v>
      </c>
      <c r="Z143" s="50">
        <v>0</v>
      </c>
      <c r="AA143" s="73">
        <v>143</v>
      </c>
      <c r="AB143" s="73"/>
      <c r="AC143" s="74"/>
      <c r="AD143" s="81" t="s">
        <v>678</v>
      </c>
      <c r="AE143" s="81"/>
      <c r="AF143" s="81"/>
      <c r="AG143" s="81"/>
      <c r="AH143" s="81"/>
      <c r="AI143" s="81" t="s">
        <v>1015</v>
      </c>
      <c r="AJ143" s="85">
        <v>40234.28635416667</v>
      </c>
      <c r="AK143" s="83" t="str">
        <f>HYPERLINK("https://yt3.ggpht.com/ytc/AOPolaQUJPec6CDmP3QxUGKjX2l_NTVasqMGwHS9AasGwA=s88-c-k-c0x00ffffff-no-rj")</f>
        <v>https://yt3.ggpht.com/ytc/AOPolaQUJPec6CDmP3QxUGKjX2l_NTVasqMGwHS9AasGwA=s88-c-k-c0x00ffffff-no-rj</v>
      </c>
      <c r="AL143" s="81">
        <v>516</v>
      </c>
      <c r="AM143" s="81">
        <v>0</v>
      </c>
      <c r="AN143" s="81">
        <v>56</v>
      </c>
      <c r="AO143" s="81" t="b">
        <v>0</v>
      </c>
      <c r="AP143" s="81">
        <v>14</v>
      </c>
      <c r="AQ143" s="81"/>
      <c r="AR143" s="81"/>
      <c r="AS143" s="81" t="s">
        <v>1057</v>
      </c>
      <c r="AT143" s="83" t="str">
        <f>HYPERLINK("https://www.youtube.com/channel/UCwx5DtPIzTU8mD7GVPGj6xw")</f>
        <v>https://www.youtube.com/channel/UCwx5DtPIzTU8mD7GVPGj6xw</v>
      </c>
      <c r="AU143" s="81">
        <v>1</v>
      </c>
      <c r="AV143" s="49">
        <v>1</v>
      </c>
      <c r="AW143" s="50">
        <v>7.6923076923076925</v>
      </c>
      <c r="AX143" s="49">
        <v>0</v>
      </c>
      <c r="AY143" s="50">
        <v>0</v>
      </c>
      <c r="AZ143" s="49">
        <v>0</v>
      </c>
      <c r="BA143" s="50">
        <v>0</v>
      </c>
      <c r="BB143" s="49">
        <v>6</v>
      </c>
      <c r="BC143" s="50">
        <v>46.15384615384615</v>
      </c>
      <c r="BD143" s="49">
        <v>13</v>
      </c>
      <c r="BE143" s="49"/>
      <c r="BF143" s="49"/>
      <c r="BG143" s="49"/>
      <c r="BH143" s="49"/>
      <c r="BI143" s="49"/>
      <c r="BJ143" s="49"/>
      <c r="BK143" s="115" t="s">
        <v>1182</v>
      </c>
      <c r="BL143" s="115" t="s">
        <v>1182</v>
      </c>
      <c r="BM143" s="115" t="s">
        <v>1306</v>
      </c>
      <c r="BN143" s="115" t="s">
        <v>1306</v>
      </c>
      <c r="BO143" s="2"/>
      <c r="BP143" s="3"/>
      <c r="BQ143" s="3"/>
      <c r="BR143" s="3"/>
      <c r="BS143" s="3"/>
    </row>
    <row r="144" spans="1:71" ht="15">
      <c r="A144" s="66" t="s">
        <v>362</v>
      </c>
      <c r="B144" s="67"/>
      <c r="C144" s="67"/>
      <c r="D144" s="68">
        <v>150</v>
      </c>
      <c r="E144" s="70"/>
      <c r="F144" s="103" t="str">
        <f>HYPERLINK("https://yt3.ggpht.com/ytc/AOPolaR8isY5_RmJBDg_ZmRz92zMbn21ScTvh79FFxai9Q=s88-c-k-c0x00ffffff-no-rj")</f>
        <v>https://yt3.ggpht.com/ytc/AOPolaR8isY5_RmJBDg_ZmRz92zMbn21ScTvh79FFxai9Q=s88-c-k-c0x00ffffff-no-rj</v>
      </c>
      <c r="G144" s="67"/>
      <c r="H144" s="71" t="s">
        <v>679</v>
      </c>
      <c r="I144" s="72"/>
      <c r="J144" s="72" t="s">
        <v>159</v>
      </c>
      <c r="K144" s="71" t="s">
        <v>679</v>
      </c>
      <c r="L144" s="75">
        <v>1</v>
      </c>
      <c r="M144" s="76">
        <v>2779.814453125</v>
      </c>
      <c r="N144" s="76">
        <v>8863.966796875</v>
      </c>
      <c r="O144" s="77"/>
      <c r="P144" s="78"/>
      <c r="Q144" s="78"/>
      <c r="R144" s="89"/>
      <c r="S144" s="49">
        <v>0</v>
      </c>
      <c r="T144" s="49">
        <v>1</v>
      </c>
      <c r="U144" s="50">
        <v>0</v>
      </c>
      <c r="V144" s="50">
        <v>0.256952</v>
      </c>
      <c r="W144" s="50">
        <v>0.071778</v>
      </c>
      <c r="X144" s="50">
        <v>0.004811</v>
      </c>
      <c r="Y144" s="50">
        <v>0</v>
      </c>
      <c r="Z144" s="50">
        <v>0</v>
      </c>
      <c r="AA144" s="73">
        <v>144</v>
      </c>
      <c r="AB144" s="73"/>
      <c r="AC144" s="74"/>
      <c r="AD144" s="81" t="s">
        <v>679</v>
      </c>
      <c r="AE144" s="81"/>
      <c r="AF144" s="81"/>
      <c r="AG144" s="81"/>
      <c r="AH144" s="81"/>
      <c r="AI144" s="81" t="s">
        <v>1016</v>
      </c>
      <c r="AJ144" s="85">
        <v>41713.59721064815</v>
      </c>
      <c r="AK144" s="83" t="str">
        <f>HYPERLINK("https://yt3.ggpht.com/ytc/AOPolaR8isY5_RmJBDg_ZmRz92zMbn21ScTvh79FFxai9Q=s88-c-k-c0x00ffffff-no-rj")</f>
        <v>https://yt3.ggpht.com/ytc/AOPolaR8isY5_RmJBDg_ZmRz92zMbn21ScTvh79FFxai9Q=s88-c-k-c0x00ffffff-no-rj</v>
      </c>
      <c r="AL144" s="81">
        <v>0</v>
      </c>
      <c r="AM144" s="81">
        <v>0</v>
      </c>
      <c r="AN144" s="81">
        <v>6</v>
      </c>
      <c r="AO144" s="81" t="b">
        <v>0</v>
      </c>
      <c r="AP144" s="81">
        <v>0</v>
      </c>
      <c r="AQ144" s="81"/>
      <c r="AR144" s="81"/>
      <c r="AS144" s="81" t="s">
        <v>1057</v>
      </c>
      <c r="AT144" s="83" t="str">
        <f>HYPERLINK("https://www.youtube.com/channel/UCAEVSxRog9de2XxDsE-TENg")</f>
        <v>https://www.youtube.com/channel/UCAEVSxRog9de2XxDsE-TENg</v>
      </c>
      <c r="AU144" s="81">
        <v>1</v>
      </c>
      <c r="AV144" s="49">
        <v>3</v>
      </c>
      <c r="AW144" s="50">
        <v>13.043478260869565</v>
      </c>
      <c r="AX144" s="49">
        <v>0</v>
      </c>
      <c r="AY144" s="50">
        <v>0</v>
      </c>
      <c r="AZ144" s="49">
        <v>0</v>
      </c>
      <c r="BA144" s="50">
        <v>0</v>
      </c>
      <c r="BB144" s="49">
        <v>3</v>
      </c>
      <c r="BC144" s="50">
        <v>13.043478260869565</v>
      </c>
      <c r="BD144" s="49">
        <v>23</v>
      </c>
      <c r="BE144" s="49"/>
      <c r="BF144" s="49"/>
      <c r="BG144" s="49"/>
      <c r="BH144" s="49"/>
      <c r="BI144" s="49"/>
      <c r="BJ144" s="49"/>
      <c r="BK144" s="115" t="s">
        <v>1183</v>
      </c>
      <c r="BL144" s="115" t="s">
        <v>1183</v>
      </c>
      <c r="BM144" s="115" t="s">
        <v>1307</v>
      </c>
      <c r="BN144" s="115" t="s">
        <v>1307</v>
      </c>
      <c r="BO144" s="2"/>
      <c r="BP144" s="3"/>
      <c r="BQ144" s="3"/>
      <c r="BR144" s="3"/>
      <c r="BS144" s="3"/>
    </row>
    <row r="145" spans="1:71" ht="15">
      <c r="A145" s="66" t="s">
        <v>363</v>
      </c>
      <c r="B145" s="67"/>
      <c r="C145" s="67"/>
      <c r="D145" s="68">
        <v>150</v>
      </c>
      <c r="E145" s="70"/>
      <c r="F145" s="103" t="str">
        <f>HYPERLINK("https://yt3.ggpht.com/ytc/AOPolaTc-NezWAXnWCGSdREU6KdEKBW4hPAAMFSMvO4L=s88-c-k-c0x00ffffff-no-rj")</f>
        <v>https://yt3.ggpht.com/ytc/AOPolaTc-NezWAXnWCGSdREU6KdEKBW4hPAAMFSMvO4L=s88-c-k-c0x00ffffff-no-rj</v>
      </c>
      <c r="G145" s="67"/>
      <c r="H145" s="71" t="s">
        <v>680</v>
      </c>
      <c r="I145" s="72"/>
      <c r="J145" s="72" t="s">
        <v>159</v>
      </c>
      <c r="K145" s="71" t="s">
        <v>680</v>
      </c>
      <c r="L145" s="75">
        <v>1</v>
      </c>
      <c r="M145" s="76">
        <v>1232.4063720703125</v>
      </c>
      <c r="N145" s="76">
        <v>8057.279296875</v>
      </c>
      <c r="O145" s="77"/>
      <c r="P145" s="78"/>
      <c r="Q145" s="78"/>
      <c r="R145" s="89"/>
      <c r="S145" s="49">
        <v>0</v>
      </c>
      <c r="T145" s="49">
        <v>1</v>
      </c>
      <c r="U145" s="50">
        <v>0</v>
      </c>
      <c r="V145" s="50">
        <v>0.256952</v>
      </c>
      <c r="W145" s="50">
        <v>0.071778</v>
      </c>
      <c r="X145" s="50">
        <v>0.004811</v>
      </c>
      <c r="Y145" s="50">
        <v>0</v>
      </c>
      <c r="Z145" s="50">
        <v>0</v>
      </c>
      <c r="AA145" s="73">
        <v>145</v>
      </c>
      <c r="AB145" s="73"/>
      <c r="AC145" s="74"/>
      <c r="AD145" s="81" t="s">
        <v>680</v>
      </c>
      <c r="AE145" s="81" t="s">
        <v>848</v>
      </c>
      <c r="AF145" s="81"/>
      <c r="AG145" s="81"/>
      <c r="AH145" s="81"/>
      <c r="AI145" s="81" t="s">
        <v>1017</v>
      </c>
      <c r="AJ145" s="85">
        <v>43349.02563657407</v>
      </c>
      <c r="AK145" s="83" t="str">
        <f>HYPERLINK("https://yt3.ggpht.com/ytc/AOPolaTc-NezWAXnWCGSdREU6KdEKBW4hPAAMFSMvO4L=s88-c-k-c0x00ffffff-no-rj")</f>
        <v>https://yt3.ggpht.com/ytc/AOPolaTc-NezWAXnWCGSdREU6KdEKBW4hPAAMFSMvO4L=s88-c-k-c0x00ffffff-no-rj</v>
      </c>
      <c r="AL145" s="81">
        <v>168</v>
      </c>
      <c r="AM145" s="81">
        <v>0</v>
      </c>
      <c r="AN145" s="81">
        <v>11</v>
      </c>
      <c r="AO145" s="81" t="b">
        <v>0</v>
      </c>
      <c r="AP145" s="81">
        <v>17</v>
      </c>
      <c r="AQ145" s="81"/>
      <c r="AR145" s="81"/>
      <c r="AS145" s="81" t="s">
        <v>1057</v>
      </c>
      <c r="AT145" s="83" t="str">
        <f>HYPERLINK("https://www.youtube.com/channel/UC-JfCXqVFa0u1a9npkncseg")</f>
        <v>https://www.youtube.com/channel/UC-JfCXqVFa0u1a9npkncseg</v>
      </c>
      <c r="AU145" s="81">
        <v>1</v>
      </c>
      <c r="AV145" s="49">
        <v>1</v>
      </c>
      <c r="AW145" s="50">
        <v>9.090909090909092</v>
      </c>
      <c r="AX145" s="49">
        <v>0</v>
      </c>
      <c r="AY145" s="50">
        <v>0</v>
      </c>
      <c r="AZ145" s="49">
        <v>0</v>
      </c>
      <c r="BA145" s="50">
        <v>0</v>
      </c>
      <c r="BB145" s="49">
        <v>5</v>
      </c>
      <c r="BC145" s="50">
        <v>45.45454545454545</v>
      </c>
      <c r="BD145" s="49">
        <v>11</v>
      </c>
      <c r="BE145" s="49"/>
      <c r="BF145" s="49"/>
      <c r="BG145" s="49"/>
      <c r="BH145" s="49"/>
      <c r="BI145" s="49"/>
      <c r="BJ145" s="49"/>
      <c r="BK145" s="115" t="s">
        <v>1184</v>
      </c>
      <c r="BL145" s="115" t="s">
        <v>1184</v>
      </c>
      <c r="BM145" s="115" t="s">
        <v>1308</v>
      </c>
      <c r="BN145" s="115" t="s">
        <v>1308</v>
      </c>
      <c r="BO145" s="2"/>
      <c r="BP145" s="3"/>
      <c r="BQ145" s="3"/>
      <c r="BR145" s="3"/>
      <c r="BS145" s="3"/>
    </row>
    <row r="146" spans="1:71" ht="15">
      <c r="A146" s="66" t="s">
        <v>364</v>
      </c>
      <c r="B146" s="67"/>
      <c r="C146" s="67"/>
      <c r="D146" s="68">
        <v>150</v>
      </c>
      <c r="E146" s="70"/>
      <c r="F146" s="103" t="str">
        <f>HYPERLINK("https://yt3.ggpht.com/ytc/AOPolaQxPqtARe7JtqB59YzkrSGeNRKwYBdTlyhhIA=s88-c-k-c0x00ffffff-no-rj")</f>
        <v>https://yt3.ggpht.com/ytc/AOPolaQxPqtARe7JtqB59YzkrSGeNRKwYBdTlyhhIA=s88-c-k-c0x00ffffff-no-rj</v>
      </c>
      <c r="G146" s="67"/>
      <c r="H146" s="71" t="s">
        <v>681</v>
      </c>
      <c r="I146" s="72"/>
      <c r="J146" s="72" t="s">
        <v>159</v>
      </c>
      <c r="K146" s="71" t="s">
        <v>681</v>
      </c>
      <c r="L146" s="75">
        <v>1</v>
      </c>
      <c r="M146" s="76">
        <v>417.7810363769531</v>
      </c>
      <c r="N146" s="76">
        <v>2667.984619140625</v>
      </c>
      <c r="O146" s="77"/>
      <c r="P146" s="78"/>
      <c r="Q146" s="78"/>
      <c r="R146" s="89"/>
      <c r="S146" s="49">
        <v>0</v>
      </c>
      <c r="T146" s="49">
        <v>1</v>
      </c>
      <c r="U146" s="50">
        <v>0</v>
      </c>
      <c r="V146" s="50">
        <v>0.256952</v>
      </c>
      <c r="W146" s="50">
        <v>0.071778</v>
      </c>
      <c r="X146" s="50">
        <v>0.004811</v>
      </c>
      <c r="Y146" s="50">
        <v>0</v>
      </c>
      <c r="Z146" s="50">
        <v>0</v>
      </c>
      <c r="AA146" s="73">
        <v>146</v>
      </c>
      <c r="AB146" s="73"/>
      <c r="AC146" s="74"/>
      <c r="AD146" s="81" t="s">
        <v>681</v>
      </c>
      <c r="AE146" s="81"/>
      <c r="AF146" s="81"/>
      <c r="AG146" s="81"/>
      <c r="AH146" s="81"/>
      <c r="AI146" s="81" t="s">
        <v>1018</v>
      </c>
      <c r="AJ146" s="85">
        <v>43599.925775462965</v>
      </c>
      <c r="AK146" s="83" t="str">
        <f>HYPERLINK("https://yt3.ggpht.com/ytc/AOPolaQxPqtARe7JtqB59YzkrSGeNRKwYBdTlyhhIA=s88-c-k-c0x00ffffff-no-rj")</f>
        <v>https://yt3.ggpht.com/ytc/AOPolaQxPqtARe7JtqB59YzkrSGeNRKwYBdTlyhhIA=s88-c-k-c0x00ffffff-no-rj</v>
      </c>
      <c r="AL146" s="81">
        <v>0</v>
      </c>
      <c r="AM146" s="81">
        <v>0</v>
      </c>
      <c r="AN146" s="81">
        <v>3</v>
      </c>
      <c r="AO146" s="81" t="b">
        <v>0</v>
      </c>
      <c r="AP146" s="81">
        <v>0</v>
      </c>
      <c r="AQ146" s="81"/>
      <c r="AR146" s="81"/>
      <c r="AS146" s="81" t="s">
        <v>1057</v>
      </c>
      <c r="AT146" s="83" t="str">
        <f>HYPERLINK("https://www.youtube.com/channel/UCWmoyW5UdMXu3iC4uFd3lNg")</f>
        <v>https://www.youtube.com/channel/UCWmoyW5UdMXu3iC4uFd3lNg</v>
      </c>
      <c r="AU146" s="81">
        <v>1</v>
      </c>
      <c r="AV146" s="49">
        <v>5</v>
      </c>
      <c r="AW146" s="50">
        <v>7.042253521126761</v>
      </c>
      <c r="AX146" s="49">
        <v>5</v>
      </c>
      <c r="AY146" s="50">
        <v>7.042253521126761</v>
      </c>
      <c r="AZ146" s="49">
        <v>0</v>
      </c>
      <c r="BA146" s="50">
        <v>0</v>
      </c>
      <c r="BB146" s="49">
        <v>18</v>
      </c>
      <c r="BC146" s="50">
        <v>25.35211267605634</v>
      </c>
      <c r="BD146" s="49">
        <v>71</v>
      </c>
      <c r="BE146" s="49"/>
      <c r="BF146" s="49"/>
      <c r="BG146" s="49"/>
      <c r="BH146" s="49"/>
      <c r="BI146" s="49"/>
      <c r="BJ146" s="49"/>
      <c r="BK146" s="115" t="s">
        <v>1185</v>
      </c>
      <c r="BL146" s="115" t="s">
        <v>1185</v>
      </c>
      <c r="BM146" s="115" t="s">
        <v>1309</v>
      </c>
      <c r="BN146" s="115" t="s">
        <v>1309</v>
      </c>
      <c r="BO146" s="2"/>
      <c r="BP146" s="3"/>
      <c r="BQ146" s="3"/>
      <c r="BR146" s="3"/>
      <c r="BS146" s="3"/>
    </row>
    <row r="147" spans="1:71" ht="15">
      <c r="A147" s="66" t="s">
        <v>365</v>
      </c>
      <c r="B147" s="67"/>
      <c r="C147" s="67"/>
      <c r="D147" s="68">
        <v>150</v>
      </c>
      <c r="E147" s="70"/>
      <c r="F147" s="103" t="str">
        <f>HYPERLINK("https://yt3.ggpht.com/aVY0bbV6n94S4lxmxglAkTONCap117_jBt9Jopyae0pzEqaZgPsube5vju5KZrlzNqQGxmRn=s88-c-k-c0x00ffffff-no-rj")</f>
        <v>https://yt3.ggpht.com/aVY0bbV6n94S4lxmxglAkTONCap117_jBt9Jopyae0pzEqaZgPsube5vju5KZrlzNqQGxmRn=s88-c-k-c0x00ffffff-no-rj</v>
      </c>
      <c r="G147" s="67"/>
      <c r="H147" s="71" t="s">
        <v>682</v>
      </c>
      <c r="I147" s="72"/>
      <c r="J147" s="72" t="s">
        <v>159</v>
      </c>
      <c r="K147" s="71" t="s">
        <v>682</v>
      </c>
      <c r="L147" s="75">
        <v>1</v>
      </c>
      <c r="M147" s="76">
        <v>3316.114013671875</v>
      </c>
      <c r="N147" s="76">
        <v>5081.21826171875</v>
      </c>
      <c r="O147" s="77"/>
      <c r="P147" s="78"/>
      <c r="Q147" s="78"/>
      <c r="R147" s="89"/>
      <c r="S147" s="49">
        <v>0</v>
      </c>
      <c r="T147" s="49">
        <v>1</v>
      </c>
      <c r="U147" s="50">
        <v>0</v>
      </c>
      <c r="V147" s="50">
        <v>0.256952</v>
      </c>
      <c r="W147" s="50">
        <v>0.071778</v>
      </c>
      <c r="X147" s="50">
        <v>0.004811</v>
      </c>
      <c r="Y147" s="50">
        <v>0</v>
      </c>
      <c r="Z147" s="50">
        <v>0</v>
      </c>
      <c r="AA147" s="73">
        <v>147</v>
      </c>
      <c r="AB147" s="73"/>
      <c r="AC147" s="74"/>
      <c r="AD147" s="81" t="s">
        <v>682</v>
      </c>
      <c r="AE147" s="81" t="s">
        <v>849</v>
      </c>
      <c r="AF147" s="81"/>
      <c r="AG147" s="81"/>
      <c r="AH147" s="81"/>
      <c r="AI147" s="81" t="s">
        <v>1019</v>
      </c>
      <c r="AJ147" s="85">
        <v>41781.48453703704</v>
      </c>
      <c r="AK147" s="83" t="str">
        <f>HYPERLINK("https://yt3.ggpht.com/aVY0bbV6n94S4lxmxglAkTONCap117_jBt9Jopyae0pzEqaZgPsube5vju5KZrlzNqQGxmRn=s88-c-k-c0x00ffffff-no-rj")</f>
        <v>https://yt3.ggpht.com/aVY0bbV6n94S4lxmxglAkTONCap117_jBt9Jopyae0pzEqaZgPsube5vju5KZrlzNqQGxmRn=s88-c-k-c0x00ffffff-no-rj</v>
      </c>
      <c r="AL147" s="81">
        <v>20759</v>
      </c>
      <c r="AM147" s="81">
        <v>0</v>
      </c>
      <c r="AN147" s="81">
        <v>373</v>
      </c>
      <c r="AO147" s="81" t="b">
        <v>0</v>
      </c>
      <c r="AP147" s="81">
        <v>193</v>
      </c>
      <c r="AQ147" s="81"/>
      <c r="AR147" s="81"/>
      <c r="AS147" s="81" t="s">
        <v>1057</v>
      </c>
      <c r="AT147" s="83" t="str">
        <f>HYPERLINK("https://www.youtube.com/channel/UCVxHoKmb3caNsK62i08t6jA")</f>
        <v>https://www.youtube.com/channel/UCVxHoKmb3caNsK62i08t6jA</v>
      </c>
      <c r="AU147" s="81">
        <v>1</v>
      </c>
      <c r="AV147" s="49">
        <v>1</v>
      </c>
      <c r="AW147" s="50">
        <v>3.225806451612903</v>
      </c>
      <c r="AX147" s="49">
        <v>0</v>
      </c>
      <c r="AY147" s="50">
        <v>0</v>
      </c>
      <c r="AZ147" s="49">
        <v>0</v>
      </c>
      <c r="BA147" s="50">
        <v>0</v>
      </c>
      <c r="BB147" s="49">
        <v>9</v>
      </c>
      <c r="BC147" s="50">
        <v>29.032258064516128</v>
      </c>
      <c r="BD147" s="49">
        <v>31</v>
      </c>
      <c r="BE147" s="49"/>
      <c r="BF147" s="49"/>
      <c r="BG147" s="49"/>
      <c r="BH147" s="49"/>
      <c r="BI147" s="49"/>
      <c r="BJ147" s="49"/>
      <c r="BK147" s="115" t="s">
        <v>1186</v>
      </c>
      <c r="BL147" s="115" t="s">
        <v>1186</v>
      </c>
      <c r="BM147" s="115" t="s">
        <v>1310</v>
      </c>
      <c r="BN147" s="115" t="s">
        <v>1310</v>
      </c>
      <c r="BO147" s="2"/>
      <c r="BP147" s="3"/>
      <c r="BQ147" s="3"/>
      <c r="BR147" s="3"/>
      <c r="BS147" s="3"/>
    </row>
    <row r="148" spans="1:71" ht="15">
      <c r="A148" s="66" t="s">
        <v>366</v>
      </c>
      <c r="B148" s="67"/>
      <c r="C148" s="67"/>
      <c r="D148" s="68">
        <v>150</v>
      </c>
      <c r="E148" s="70"/>
      <c r="F148" s="103" t="str">
        <f>HYPERLINK("https://yt3.ggpht.com/ytc/AOPolaRyXcogKK3a_q0cOcjD9_GrBagzh_dvjgU-Fg=s88-c-k-c0x00ffffff-no-rj")</f>
        <v>https://yt3.ggpht.com/ytc/AOPolaRyXcogKK3a_q0cOcjD9_GrBagzh_dvjgU-Fg=s88-c-k-c0x00ffffff-no-rj</v>
      </c>
      <c r="G148" s="67"/>
      <c r="H148" s="71" t="s">
        <v>683</v>
      </c>
      <c r="I148" s="72"/>
      <c r="J148" s="72" t="s">
        <v>159</v>
      </c>
      <c r="K148" s="71" t="s">
        <v>683</v>
      </c>
      <c r="L148" s="75">
        <v>1</v>
      </c>
      <c r="M148" s="76">
        <v>2056.616943359375</v>
      </c>
      <c r="N148" s="76">
        <v>6763.75439453125</v>
      </c>
      <c r="O148" s="77"/>
      <c r="P148" s="78"/>
      <c r="Q148" s="78"/>
      <c r="R148" s="89"/>
      <c r="S148" s="49">
        <v>0</v>
      </c>
      <c r="T148" s="49">
        <v>1</v>
      </c>
      <c r="U148" s="50">
        <v>0</v>
      </c>
      <c r="V148" s="50">
        <v>0.256952</v>
      </c>
      <c r="W148" s="50">
        <v>0.071778</v>
      </c>
      <c r="X148" s="50">
        <v>0.004811</v>
      </c>
      <c r="Y148" s="50">
        <v>0</v>
      </c>
      <c r="Z148" s="50">
        <v>0</v>
      </c>
      <c r="AA148" s="73">
        <v>148</v>
      </c>
      <c r="AB148" s="73"/>
      <c r="AC148" s="74"/>
      <c r="AD148" s="81" t="s">
        <v>683</v>
      </c>
      <c r="AE148" s="81"/>
      <c r="AF148" s="81"/>
      <c r="AG148" s="81"/>
      <c r="AH148" s="81"/>
      <c r="AI148" s="81" t="s">
        <v>1020</v>
      </c>
      <c r="AJ148" s="85">
        <v>40942.16300925926</v>
      </c>
      <c r="AK148" s="83" t="str">
        <f>HYPERLINK("https://yt3.ggpht.com/ytc/AOPolaRyXcogKK3a_q0cOcjD9_GrBagzh_dvjgU-Fg=s88-c-k-c0x00ffffff-no-rj")</f>
        <v>https://yt3.ggpht.com/ytc/AOPolaRyXcogKK3a_q0cOcjD9_GrBagzh_dvjgU-Fg=s88-c-k-c0x00ffffff-no-rj</v>
      </c>
      <c r="AL148" s="81">
        <v>0</v>
      </c>
      <c r="AM148" s="81">
        <v>0</v>
      </c>
      <c r="AN148" s="81">
        <v>27</v>
      </c>
      <c r="AO148" s="81" t="b">
        <v>0</v>
      </c>
      <c r="AP148" s="81">
        <v>0</v>
      </c>
      <c r="AQ148" s="81"/>
      <c r="AR148" s="81"/>
      <c r="AS148" s="81" t="s">
        <v>1057</v>
      </c>
      <c r="AT148" s="83" t="str">
        <f>HYPERLINK("https://www.youtube.com/channel/UCDfWr6zw8JXvAbT19m2lxfA")</f>
        <v>https://www.youtube.com/channel/UCDfWr6zw8JXvAbT19m2lxfA</v>
      </c>
      <c r="AU148" s="81">
        <v>1</v>
      </c>
      <c r="AV148" s="49">
        <v>1</v>
      </c>
      <c r="AW148" s="50">
        <v>33.333333333333336</v>
      </c>
      <c r="AX148" s="49">
        <v>0</v>
      </c>
      <c r="AY148" s="50">
        <v>0</v>
      </c>
      <c r="AZ148" s="49">
        <v>0</v>
      </c>
      <c r="BA148" s="50">
        <v>0</v>
      </c>
      <c r="BB148" s="49">
        <v>0</v>
      </c>
      <c r="BC148" s="50">
        <v>0</v>
      </c>
      <c r="BD148" s="49">
        <v>3</v>
      </c>
      <c r="BE148" s="49"/>
      <c r="BF148" s="49"/>
      <c r="BG148" s="49"/>
      <c r="BH148" s="49"/>
      <c r="BI148" s="49"/>
      <c r="BJ148" s="49"/>
      <c r="BK148" s="115" t="s">
        <v>1187</v>
      </c>
      <c r="BL148" s="115" t="s">
        <v>1187</v>
      </c>
      <c r="BM148" s="115" t="s">
        <v>1634</v>
      </c>
      <c r="BN148" s="115" t="s">
        <v>1634</v>
      </c>
      <c r="BO148" s="2"/>
      <c r="BP148" s="3"/>
      <c r="BQ148" s="3"/>
      <c r="BR148" s="3"/>
      <c r="BS148" s="3"/>
    </row>
    <row r="149" spans="1:71" ht="15">
      <c r="A149" s="66" t="s">
        <v>367</v>
      </c>
      <c r="B149" s="67"/>
      <c r="C149" s="67"/>
      <c r="D149" s="68">
        <v>150</v>
      </c>
      <c r="E149" s="70"/>
      <c r="F149" s="103" t="str">
        <f>HYPERLINK("https://yt3.ggpht.com/ytc/AOPolaTOsx1OM26WAvJDx4vCgDmOgTORBRcbdKlHEXNkDw=s88-c-k-c0x00ffffff-no-rj")</f>
        <v>https://yt3.ggpht.com/ytc/AOPolaTOsx1OM26WAvJDx4vCgDmOgTORBRcbdKlHEXNkDw=s88-c-k-c0x00ffffff-no-rj</v>
      </c>
      <c r="G149" s="67"/>
      <c r="H149" s="71" t="s">
        <v>684</v>
      </c>
      <c r="I149" s="72"/>
      <c r="J149" s="72" t="s">
        <v>159</v>
      </c>
      <c r="K149" s="71" t="s">
        <v>684</v>
      </c>
      <c r="L149" s="75">
        <v>1</v>
      </c>
      <c r="M149" s="76">
        <v>1896.4425048828125</v>
      </c>
      <c r="N149" s="76">
        <v>9641.8994140625</v>
      </c>
      <c r="O149" s="77"/>
      <c r="P149" s="78"/>
      <c r="Q149" s="78"/>
      <c r="R149" s="89"/>
      <c r="S149" s="49">
        <v>0</v>
      </c>
      <c r="T149" s="49">
        <v>1</v>
      </c>
      <c r="U149" s="50">
        <v>0</v>
      </c>
      <c r="V149" s="50">
        <v>0.256952</v>
      </c>
      <c r="W149" s="50">
        <v>0.071778</v>
      </c>
      <c r="X149" s="50">
        <v>0.004811</v>
      </c>
      <c r="Y149" s="50">
        <v>0</v>
      </c>
      <c r="Z149" s="50">
        <v>0</v>
      </c>
      <c r="AA149" s="73">
        <v>149</v>
      </c>
      <c r="AB149" s="73"/>
      <c r="AC149" s="74"/>
      <c r="AD149" s="81" t="s">
        <v>684</v>
      </c>
      <c r="AE149" s="81" t="s">
        <v>850</v>
      </c>
      <c r="AF149" s="81"/>
      <c r="AG149" s="81"/>
      <c r="AH149" s="81"/>
      <c r="AI149" s="81" t="s">
        <v>1021</v>
      </c>
      <c r="AJ149" s="85">
        <v>39353.75560185185</v>
      </c>
      <c r="AK149" s="83" t="str">
        <f>HYPERLINK("https://yt3.ggpht.com/ytc/AOPolaTOsx1OM26WAvJDx4vCgDmOgTORBRcbdKlHEXNkDw=s88-c-k-c0x00ffffff-no-rj")</f>
        <v>https://yt3.ggpht.com/ytc/AOPolaTOsx1OM26WAvJDx4vCgDmOgTORBRcbdKlHEXNkDw=s88-c-k-c0x00ffffff-no-rj</v>
      </c>
      <c r="AL149" s="81">
        <v>64</v>
      </c>
      <c r="AM149" s="81">
        <v>0</v>
      </c>
      <c r="AN149" s="81">
        <v>14</v>
      </c>
      <c r="AO149" s="81" t="b">
        <v>0</v>
      </c>
      <c r="AP149" s="81">
        <v>7</v>
      </c>
      <c r="AQ149" s="81"/>
      <c r="AR149" s="81"/>
      <c r="AS149" s="81" t="s">
        <v>1057</v>
      </c>
      <c r="AT149" s="83" t="str">
        <f>HYPERLINK("https://www.youtube.com/channel/UCPA1ozsJSo6nat5Ge_lPAoQ")</f>
        <v>https://www.youtube.com/channel/UCPA1ozsJSo6nat5Ge_lPAoQ</v>
      </c>
      <c r="AU149" s="81">
        <v>1</v>
      </c>
      <c r="AV149" s="49">
        <v>2</v>
      </c>
      <c r="AW149" s="50">
        <v>2.6315789473684212</v>
      </c>
      <c r="AX149" s="49">
        <v>1</v>
      </c>
      <c r="AY149" s="50">
        <v>1.3157894736842106</v>
      </c>
      <c r="AZ149" s="49">
        <v>0</v>
      </c>
      <c r="BA149" s="50">
        <v>0</v>
      </c>
      <c r="BB149" s="49">
        <v>22</v>
      </c>
      <c r="BC149" s="50">
        <v>28.94736842105263</v>
      </c>
      <c r="BD149" s="49">
        <v>76</v>
      </c>
      <c r="BE149" s="49"/>
      <c r="BF149" s="49"/>
      <c r="BG149" s="49"/>
      <c r="BH149" s="49"/>
      <c r="BI149" s="49"/>
      <c r="BJ149" s="49"/>
      <c r="BK149" s="115" t="s">
        <v>1188</v>
      </c>
      <c r="BL149" s="115" t="s">
        <v>1188</v>
      </c>
      <c r="BM149" s="115" t="s">
        <v>1311</v>
      </c>
      <c r="BN149" s="115" t="s">
        <v>1311</v>
      </c>
      <c r="BO149" s="2"/>
      <c r="BP149" s="3"/>
      <c r="BQ149" s="3"/>
      <c r="BR149" s="3"/>
      <c r="BS149" s="3"/>
    </row>
    <row r="150" spans="1:71" ht="15">
      <c r="A150" s="66" t="s">
        <v>368</v>
      </c>
      <c r="B150" s="67"/>
      <c r="C150" s="67"/>
      <c r="D150" s="68">
        <v>150</v>
      </c>
      <c r="E150" s="70"/>
      <c r="F150" s="103" t="str">
        <f>HYPERLINK("https://yt3.ggpht.com/ytc/AOPolaRyo0IB25yBI6w_b6XK4tZGWMPmNQsYKmilTA=s88-c-k-c0x00ffffff-no-rj")</f>
        <v>https://yt3.ggpht.com/ytc/AOPolaRyo0IB25yBI6w_b6XK4tZGWMPmNQsYKmilTA=s88-c-k-c0x00ffffff-no-rj</v>
      </c>
      <c r="G150" s="67"/>
      <c r="H150" s="71" t="s">
        <v>685</v>
      </c>
      <c r="I150" s="72"/>
      <c r="J150" s="72" t="s">
        <v>159</v>
      </c>
      <c r="K150" s="71" t="s">
        <v>685</v>
      </c>
      <c r="L150" s="75">
        <v>1</v>
      </c>
      <c r="M150" s="76">
        <v>4659.2177734375</v>
      </c>
      <c r="N150" s="76">
        <v>2364.005859375</v>
      </c>
      <c r="O150" s="77"/>
      <c r="P150" s="78"/>
      <c r="Q150" s="78"/>
      <c r="R150" s="89"/>
      <c r="S150" s="49">
        <v>0</v>
      </c>
      <c r="T150" s="49">
        <v>1</v>
      </c>
      <c r="U150" s="50">
        <v>0</v>
      </c>
      <c r="V150" s="50">
        <v>0.256952</v>
      </c>
      <c r="W150" s="50">
        <v>0.071778</v>
      </c>
      <c r="X150" s="50">
        <v>0.004811</v>
      </c>
      <c r="Y150" s="50">
        <v>0</v>
      </c>
      <c r="Z150" s="50">
        <v>0</v>
      </c>
      <c r="AA150" s="73">
        <v>150</v>
      </c>
      <c r="AB150" s="73"/>
      <c r="AC150" s="74"/>
      <c r="AD150" s="81" t="s">
        <v>685</v>
      </c>
      <c r="AE150" s="81"/>
      <c r="AF150" s="81"/>
      <c r="AG150" s="81"/>
      <c r="AH150" s="81"/>
      <c r="AI150" s="81" t="s">
        <v>1022</v>
      </c>
      <c r="AJ150" s="85">
        <v>43164.193402777775</v>
      </c>
      <c r="AK150" s="83" t="str">
        <f>HYPERLINK("https://yt3.ggpht.com/ytc/AOPolaRyo0IB25yBI6w_b6XK4tZGWMPmNQsYKmilTA=s88-c-k-c0x00ffffff-no-rj")</f>
        <v>https://yt3.ggpht.com/ytc/AOPolaRyo0IB25yBI6w_b6XK4tZGWMPmNQsYKmilTA=s88-c-k-c0x00ffffff-no-rj</v>
      </c>
      <c r="AL150" s="81">
        <v>0</v>
      </c>
      <c r="AM150" s="81">
        <v>0</v>
      </c>
      <c r="AN150" s="81">
        <v>4</v>
      </c>
      <c r="AO150" s="81" t="b">
        <v>0</v>
      </c>
      <c r="AP150" s="81">
        <v>0</v>
      </c>
      <c r="AQ150" s="81"/>
      <c r="AR150" s="81"/>
      <c r="AS150" s="81" t="s">
        <v>1057</v>
      </c>
      <c r="AT150" s="83" t="str">
        <f>HYPERLINK("https://www.youtube.com/channel/UCD9Q7qkG0ReL5AVJNk_N0DQ")</f>
        <v>https://www.youtube.com/channel/UCD9Q7qkG0ReL5AVJNk_N0DQ</v>
      </c>
      <c r="AU150" s="81">
        <v>1</v>
      </c>
      <c r="AV150" s="49">
        <v>3</v>
      </c>
      <c r="AW150" s="50">
        <v>60</v>
      </c>
      <c r="AX150" s="49">
        <v>0</v>
      </c>
      <c r="AY150" s="50">
        <v>0</v>
      </c>
      <c r="AZ150" s="49">
        <v>0</v>
      </c>
      <c r="BA150" s="50">
        <v>0</v>
      </c>
      <c r="BB150" s="49">
        <v>1</v>
      </c>
      <c r="BC150" s="50">
        <v>20</v>
      </c>
      <c r="BD150" s="49">
        <v>5</v>
      </c>
      <c r="BE150" s="49"/>
      <c r="BF150" s="49"/>
      <c r="BG150" s="49"/>
      <c r="BH150" s="49"/>
      <c r="BI150" s="49"/>
      <c r="BJ150" s="49"/>
      <c r="BK150" s="115" t="s">
        <v>1189</v>
      </c>
      <c r="BL150" s="115" t="s">
        <v>1189</v>
      </c>
      <c r="BM150" s="115" t="s">
        <v>1312</v>
      </c>
      <c r="BN150" s="115" t="s">
        <v>1312</v>
      </c>
      <c r="BO150" s="2"/>
      <c r="BP150" s="3"/>
      <c r="BQ150" s="3"/>
      <c r="BR150" s="3"/>
      <c r="BS150" s="3"/>
    </row>
    <row r="151" spans="1:71" ht="15">
      <c r="A151" s="66" t="s">
        <v>369</v>
      </c>
      <c r="B151" s="67"/>
      <c r="C151" s="67"/>
      <c r="D151" s="68">
        <v>150</v>
      </c>
      <c r="E151" s="70"/>
      <c r="F151" s="103" t="str">
        <f>HYPERLINK("https://yt3.ggpht.com/ytc/AOPolaR8YFTJrlZgp2zexY2tjZiNnPDz1tI47WDBbRY_zg=s88-c-k-c0x00ffffff-no-rj")</f>
        <v>https://yt3.ggpht.com/ytc/AOPolaR8YFTJrlZgp2zexY2tjZiNnPDz1tI47WDBbRY_zg=s88-c-k-c0x00ffffff-no-rj</v>
      </c>
      <c r="G151" s="67"/>
      <c r="H151" s="71" t="s">
        <v>686</v>
      </c>
      <c r="I151" s="72"/>
      <c r="J151" s="72" t="s">
        <v>159</v>
      </c>
      <c r="K151" s="71" t="s">
        <v>686</v>
      </c>
      <c r="L151" s="75">
        <v>1</v>
      </c>
      <c r="M151" s="76">
        <v>930.584716796875</v>
      </c>
      <c r="N151" s="76">
        <v>8605.90625</v>
      </c>
      <c r="O151" s="77"/>
      <c r="P151" s="78"/>
      <c r="Q151" s="78"/>
      <c r="R151" s="89"/>
      <c r="S151" s="49">
        <v>0</v>
      </c>
      <c r="T151" s="49">
        <v>1</v>
      </c>
      <c r="U151" s="50">
        <v>0</v>
      </c>
      <c r="V151" s="50">
        <v>0.256952</v>
      </c>
      <c r="W151" s="50">
        <v>0.071778</v>
      </c>
      <c r="X151" s="50">
        <v>0.004811</v>
      </c>
      <c r="Y151" s="50">
        <v>0</v>
      </c>
      <c r="Z151" s="50">
        <v>0</v>
      </c>
      <c r="AA151" s="73">
        <v>151</v>
      </c>
      <c r="AB151" s="73"/>
      <c r="AC151" s="74"/>
      <c r="AD151" s="81" t="s">
        <v>686</v>
      </c>
      <c r="AE151" s="81" t="s">
        <v>851</v>
      </c>
      <c r="AF151" s="81"/>
      <c r="AG151" s="81"/>
      <c r="AH151" s="81"/>
      <c r="AI151" s="81" t="s">
        <v>1023</v>
      </c>
      <c r="AJ151" s="85">
        <v>43563.03623842593</v>
      </c>
      <c r="AK151" s="83" t="str">
        <f>HYPERLINK("https://yt3.ggpht.com/ytc/AOPolaR8YFTJrlZgp2zexY2tjZiNnPDz1tI47WDBbRY_zg=s88-c-k-c0x00ffffff-no-rj")</f>
        <v>https://yt3.ggpht.com/ytc/AOPolaR8YFTJrlZgp2zexY2tjZiNnPDz1tI47WDBbRY_zg=s88-c-k-c0x00ffffff-no-rj</v>
      </c>
      <c r="AL151" s="81">
        <v>296</v>
      </c>
      <c r="AM151" s="81">
        <v>0</v>
      </c>
      <c r="AN151" s="81">
        <v>117</v>
      </c>
      <c r="AO151" s="81" t="b">
        <v>0</v>
      </c>
      <c r="AP151" s="81">
        <v>1</v>
      </c>
      <c r="AQ151" s="81"/>
      <c r="AR151" s="81"/>
      <c r="AS151" s="81" t="s">
        <v>1057</v>
      </c>
      <c r="AT151" s="83" t="str">
        <f>HYPERLINK("https://www.youtube.com/channel/UC3bC6U4pFHacee5RahQYSDQ")</f>
        <v>https://www.youtube.com/channel/UC3bC6U4pFHacee5RahQYSDQ</v>
      </c>
      <c r="AU151" s="81">
        <v>1</v>
      </c>
      <c r="AV151" s="49">
        <v>0</v>
      </c>
      <c r="AW151" s="50">
        <v>0</v>
      </c>
      <c r="AX151" s="49">
        <v>0</v>
      </c>
      <c r="AY151" s="50">
        <v>0</v>
      </c>
      <c r="AZ151" s="49">
        <v>0</v>
      </c>
      <c r="BA151" s="50">
        <v>0</v>
      </c>
      <c r="BB151" s="49">
        <v>0</v>
      </c>
      <c r="BC151" s="50">
        <v>0</v>
      </c>
      <c r="BD151" s="49">
        <v>0</v>
      </c>
      <c r="BE151" s="49"/>
      <c r="BF151" s="49"/>
      <c r="BG151" s="49"/>
      <c r="BH151" s="49"/>
      <c r="BI151" s="49"/>
      <c r="BJ151" s="49"/>
      <c r="BK151" s="115" t="s">
        <v>1634</v>
      </c>
      <c r="BL151" s="115" t="s">
        <v>1634</v>
      </c>
      <c r="BM151" s="115" t="s">
        <v>1634</v>
      </c>
      <c r="BN151" s="115" t="s">
        <v>1634</v>
      </c>
      <c r="BO151" s="2"/>
      <c r="BP151" s="3"/>
      <c r="BQ151" s="3"/>
      <c r="BR151" s="3"/>
      <c r="BS151" s="3"/>
    </row>
    <row r="152" spans="1:71" ht="15">
      <c r="A152" s="66" t="s">
        <v>370</v>
      </c>
      <c r="B152" s="67"/>
      <c r="C152" s="67"/>
      <c r="D152" s="68">
        <v>150</v>
      </c>
      <c r="E152" s="70"/>
      <c r="F152" s="103" t="str">
        <f>HYPERLINK("https://yt3.ggpht.com/oW9DJN6YBy0y78vun1scVhEqogJMmHpMJ55glDhIZ8PTwGXF-aUkJJ_ZVFoLMBV2kpQbEyQlXA=s88-c-k-c0x00ffffff-no-rj")</f>
        <v>https://yt3.ggpht.com/oW9DJN6YBy0y78vun1scVhEqogJMmHpMJ55glDhIZ8PTwGXF-aUkJJ_ZVFoLMBV2kpQbEyQlXA=s88-c-k-c0x00ffffff-no-rj</v>
      </c>
      <c r="G152" s="67"/>
      <c r="H152" s="71" t="s">
        <v>687</v>
      </c>
      <c r="I152" s="72"/>
      <c r="J152" s="72" t="s">
        <v>159</v>
      </c>
      <c r="K152" s="71" t="s">
        <v>687</v>
      </c>
      <c r="L152" s="75">
        <v>1</v>
      </c>
      <c r="M152" s="76">
        <v>4192.30029296875</v>
      </c>
      <c r="N152" s="76">
        <v>7667.00634765625</v>
      </c>
      <c r="O152" s="77"/>
      <c r="P152" s="78"/>
      <c r="Q152" s="78"/>
      <c r="R152" s="89"/>
      <c r="S152" s="49">
        <v>0</v>
      </c>
      <c r="T152" s="49">
        <v>1</v>
      </c>
      <c r="U152" s="50">
        <v>0</v>
      </c>
      <c r="V152" s="50">
        <v>0.256952</v>
      </c>
      <c r="W152" s="50">
        <v>0.071778</v>
      </c>
      <c r="X152" s="50">
        <v>0.004811</v>
      </c>
      <c r="Y152" s="50">
        <v>0</v>
      </c>
      <c r="Z152" s="50">
        <v>0</v>
      </c>
      <c r="AA152" s="73">
        <v>152</v>
      </c>
      <c r="AB152" s="73"/>
      <c r="AC152" s="74"/>
      <c r="AD152" s="81" t="s">
        <v>687</v>
      </c>
      <c r="AE152" s="81"/>
      <c r="AF152" s="81"/>
      <c r="AG152" s="81"/>
      <c r="AH152" s="81"/>
      <c r="AI152" s="81" t="s">
        <v>1024</v>
      </c>
      <c r="AJ152" s="85">
        <v>41141.478425925925</v>
      </c>
      <c r="AK152" s="83" t="str">
        <f>HYPERLINK("https://yt3.ggpht.com/oW9DJN6YBy0y78vun1scVhEqogJMmHpMJ55glDhIZ8PTwGXF-aUkJJ_ZVFoLMBV2kpQbEyQlXA=s88-c-k-c0x00ffffff-no-rj")</f>
        <v>https://yt3.ggpht.com/oW9DJN6YBy0y78vun1scVhEqogJMmHpMJ55glDhIZ8PTwGXF-aUkJJ_ZVFoLMBV2kpQbEyQlXA=s88-c-k-c0x00ffffff-no-rj</v>
      </c>
      <c r="AL152" s="81">
        <v>11294</v>
      </c>
      <c r="AM152" s="81">
        <v>0</v>
      </c>
      <c r="AN152" s="81">
        <v>99</v>
      </c>
      <c r="AO152" s="81" t="b">
        <v>0</v>
      </c>
      <c r="AP152" s="81">
        <v>5</v>
      </c>
      <c r="AQ152" s="81"/>
      <c r="AR152" s="81"/>
      <c r="AS152" s="81" t="s">
        <v>1057</v>
      </c>
      <c r="AT152" s="83" t="str">
        <f>HYPERLINK("https://www.youtube.com/channel/UCz2VJsU0L-e1OP4xwr4PHrg")</f>
        <v>https://www.youtube.com/channel/UCz2VJsU0L-e1OP4xwr4PHrg</v>
      </c>
      <c r="AU152" s="81">
        <v>1</v>
      </c>
      <c r="AV152" s="49">
        <v>2</v>
      </c>
      <c r="AW152" s="50">
        <v>40</v>
      </c>
      <c r="AX152" s="49">
        <v>0</v>
      </c>
      <c r="AY152" s="50">
        <v>0</v>
      </c>
      <c r="AZ152" s="49">
        <v>0</v>
      </c>
      <c r="BA152" s="50">
        <v>0</v>
      </c>
      <c r="BB152" s="49">
        <v>3</v>
      </c>
      <c r="BC152" s="50">
        <v>60</v>
      </c>
      <c r="BD152" s="49">
        <v>5</v>
      </c>
      <c r="BE152" s="49"/>
      <c r="BF152" s="49"/>
      <c r="BG152" s="49"/>
      <c r="BH152" s="49"/>
      <c r="BI152" s="49"/>
      <c r="BJ152" s="49"/>
      <c r="BK152" s="115" t="s">
        <v>1190</v>
      </c>
      <c r="BL152" s="115" t="s">
        <v>1190</v>
      </c>
      <c r="BM152" s="115" t="s">
        <v>1313</v>
      </c>
      <c r="BN152" s="115" t="s">
        <v>1313</v>
      </c>
      <c r="BO152" s="2"/>
      <c r="BP152" s="3"/>
      <c r="BQ152" s="3"/>
      <c r="BR152" s="3"/>
      <c r="BS152" s="3"/>
    </row>
    <row r="153" spans="1:71" ht="15">
      <c r="A153" s="66" t="s">
        <v>371</v>
      </c>
      <c r="B153" s="67"/>
      <c r="C153" s="67"/>
      <c r="D153" s="68">
        <v>150</v>
      </c>
      <c r="E153" s="70"/>
      <c r="F153" s="103" t="str">
        <f>HYPERLINK("https://yt3.ggpht.com/ytc/AOPolaQ52u_NZDnGsEiY10Y4t8NYdg_AwipfcA2aGA=s88-c-k-c0x00ffffff-no-rj")</f>
        <v>https://yt3.ggpht.com/ytc/AOPolaQ52u_NZDnGsEiY10Y4t8NYdg_AwipfcA2aGA=s88-c-k-c0x00ffffff-no-rj</v>
      </c>
      <c r="G153" s="67"/>
      <c r="H153" s="71" t="s">
        <v>688</v>
      </c>
      <c r="I153" s="72"/>
      <c r="J153" s="72" t="s">
        <v>159</v>
      </c>
      <c r="K153" s="71" t="s">
        <v>688</v>
      </c>
      <c r="L153" s="75">
        <v>1</v>
      </c>
      <c r="M153" s="76">
        <v>3289.926513671875</v>
      </c>
      <c r="N153" s="76">
        <v>6327.7978515625</v>
      </c>
      <c r="O153" s="77"/>
      <c r="P153" s="78"/>
      <c r="Q153" s="78"/>
      <c r="R153" s="89"/>
      <c r="S153" s="49">
        <v>0</v>
      </c>
      <c r="T153" s="49">
        <v>1</v>
      </c>
      <c r="U153" s="50">
        <v>0</v>
      </c>
      <c r="V153" s="50">
        <v>0.256952</v>
      </c>
      <c r="W153" s="50">
        <v>0.071778</v>
      </c>
      <c r="X153" s="50">
        <v>0.004811</v>
      </c>
      <c r="Y153" s="50">
        <v>0</v>
      </c>
      <c r="Z153" s="50">
        <v>0</v>
      </c>
      <c r="AA153" s="73">
        <v>153</v>
      </c>
      <c r="AB153" s="73"/>
      <c r="AC153" s="74"/>
      <c r="AD153" s="81" t="s">
        <v>688</v>
      </c>
      <c r="AE153" s="81"/>
      <c r="AF153" s="81"/>
      <c r="AG153" s="81"/>
      <c r="AH153" s="81"/>
      <c r="AI153" s="81" t="s">
        <v>1025</v>
      </c>
      <c r="AJ153" s="85">
        <v>42667.29974537037</v>
      </c>
      <c r="AK153" s="83" t="str">
        <f>HYPERLINK("https://yt3.ggpht.com/ytc/AOPolaQ52u_NZDnGsEiY10Y4t8NYdg_AwipfcA2aGA=s88-c-k-c0x00ffffff-no-rj")</f>
        <v>https://yt3.ggpht.com/ytc/AOPolaQ52u_NZDnGsEiY10Y4t8NYdg_AwipfcA2aGA=s88-c-k-c0x00ffffff-no-rj</v>
      </c>
      <c r="AL153" s="81">
        <v>182</v>
      </c>
      <c r="AM153" s="81">
        <v>0</v>
      </c>
      <c r="AN153" s="81">
        <v>9</v>
      </c>
      <c r="AO153" s="81" t="b">
        <v>0</v>
      </c>
      <c r="AP153" s="81">
        <v>1</v>
      </c>
      <c r="AQ153" s="81"/>
      <c r="AR153" s="81"/>
      <c r="AS153" s="81" t="s">
        <v>1057</v>
      </c>
      <c r="AT153" s="83" t="str">
        <f>HYPERLINK("https://www.youtube.com/channel/UCT-ZQLKcrWAQJkyVgKleMFg")</f>
        <v>https://www.youtube.com/channel/UCT-ZQLKcrWAQJkyVgKleMFg</v>
      </c>
      <c r="AU153" s="81">
        <v>1</v>
      </c>
      <c r="AV153" s="49">
        <v>0</v>
      </c>
      <c r="AW153" s="50">
        <v>0</v>
      </c>
      <c r="AX153" s="49">
        <v>0</v>
      </c>
      <c r="AY153" s="50">
        <v>0</v>
      </c>
      <c r="AZ153" s="49">
        <v>0</v>
      </c>
      <c r="BA153" s="50">
        <v>0</v>
      </c>
      <c r="BB153" s="49">
        <v>7</v>
      </c>
      <c r="BC153" s="50">
        <v>50</v>
      </c>
      <c r="BD153" s="49">
        <v>14</v>
      </c>
      <c r="BE153" s="49"/>
      <c r="BF153" s="49"/>
      <c r="BG153" s="49"/>
      <c r="BH153" s="49"/>
      <c r="BI153" s="49"/>
      <c r="BJ153" s="49"/>
      <c r="BK153" s="115" t="s">
        <v>1191</v>
      </c>
      <c r="BL153" s="115" t="s">
        <v>1191</v>
      </c>
      <c r="BM153" s="115" t="s">
        <v>1314</v>
      </c>
      <c r="BN153" s="115" t="s">
        <v>1314</v>
      </c>
      <c r="BO153" s="2"/>
      <c r="BP153" s="3"/>
      <c r="BQ153" s="3"/>
      <c r="BR153" s="3"/>
      <c r="BS153" s="3"/>
    </row>
    <row r="154" spans="1:71" ht="15">
      <c r="A154" s="66" t="s">
        <v>373</v>
      </c>
      <c r="B154" s="67"/>
      <c r="C154" s="67"/>
      <c r="D154" s="68">
        <v>150</v>
      </c>
      <c r="E154" s="70"/>
      <c r="F154" s="103" t="str">
        <f>HYPERLINK("https://yt3.ggpht.com/ytc/AOPolaSaz9nmgQyB0WYQwujbdFmwaxiwjYySb_5cj2llZw=s88-c-k-c0x00ffffff-no-rj")</f>
        <v>https://yt3.ggpht.com/ytc/AOPolaSaz9nmgQyB0WYQwujbdFmwaxiwjYySb_5cj2llZw=s88-c-k-c0x00ffffff-no-rj</v>
      </c>
      <c r="G154" s="67"/>
      <c r="H154" s="71" t="s">
        <v>690</v>
      </c>
      <c r="I154" s="72"/>
      <c r="J154" s="72" t="s">
        <v>159</v>
      </c>
      <c r="K154" s="71" t="s">
        <v>690</v>
      </c>
      <c r="L154" s="75">
        <v>1</v>
      </c>
      <c r="M154" s="76">
        <v>4424.4033203125</v>
      </c>
      <c r="N154" s="76">
        <v>6654.6103515625</v>
      </c>
      <c r="O154" s="77"/>
      <c r="P154" s="78"/>
      <c r="Q154" s="78"/>
      <c r="R154" s="89"/>
      <c r="S154" s="49">
        <v>0</v>
      </c>
      <c r="T154" s="49">
        <v>1</v>
      </c>
      <c r="U154" s="50">
        <v>0</v>
      </c>
      <c r="V154" s="50">
        <v>0.256952</v>
      </c>
      <c r="W154" s="50">
        <v>0.071778</v>
      </c>
      <c r="X154" s="50">
        <v>0.004811</v>
      </c>
      <c r="Y154" s="50">
        <v>0</v>
      </c>
      <c r="Z154" s="50">
        <v>0</v>
      </c>
      <c r="AA154" s="73">
        <v>154</v>
      </c>
      <c r="AB154" s="73"/>
      <c r="AC154" s="74"/>
      <c r="AD154" s="81" t="s">
        <v>690</v>
      </c>
      <c r="AE154" s="81"/>
      <c r="AF154" s="81"/>
      <c r="AG154" s="81"/>
      <c r="AH154" s="81"/>
      <c r="AI154" s="81" t="s">
        <v>1026</v>
      </c>
      <c r="AJ154" s="85">
        <v>41242.29344907407</v>
      </c>
      <c r="AK154" s="83" t="str">
        <f>HYPERLINK("https://yt3.ggpht.com/ytc/AOPolaSaz9nmgQyB0WYQwujbdFmwaxiwjYySb_5cj2llZw=s88-c-k-c0x00ffffff-no-rj")</f>
        <v>https://yt3.ggpht.com/ytc/AOPolaSaz9nmgQyB0WYQwujbdFmwaxiwjYySb_5cj2llZw=s88-c-k-c0x00ffffff-no-rj</v>
      </c>
      <c r="AL154" s="81">
        <v>140</v>
      </c>
      <c r="AM154" s="81">
        <v>0</v>
      </c>
      <c r="AN154" s="81">
        <v>11</v>
      </c>
      <c r="AO154" s="81" t="b">
        <v>0</v>
      </c>
      <c r="AP154" s="81">
        <v>1</v>
      </c>
      <c r="AQ154" s="81"/>
      <c r="AR154" s="81"/>
      <c r="AS154" s="81" t="s">
        <v>1057</v>
      </c>
      <c r="AT154" s="83" t="str">
        <f>HYPERLINK("https://www.youtube.com/channel/UCwa_5NKJfN0Li4TsAgPPSfQ")</f>
        <v>https://www.youtube.com/channel/UCwa_5NKJfN0Li4TsAgPPSfQ</v>
      </c>
      <c r="AU154" s="81">
        <v>1</v>
      </c>
      <c r="AV154" s="49">
        <v>0</v>
      </c>
      <c r="AW154" s="50">
        <v>0</v>
      </c>
      <c r="AX154" s="49">
        <v>0</v>
      </c>
      <c r="AY154" s="50">
        <v>0</v>
      </c>
      <c r="AZ154" s="49">
        <v>0</v>
      </c>
      <c r="BA154" s="50">
        <v>0</v>
      </c>
      <c r="BB154" s="49">
        <v>3</v>
      </c>
      <c r="BC154" s="50">
        <v>50</v>
      </c>
      <c r="BD154" s="49">
        <v>6</v>
      </c>
      <c r="BE154" s="49"/>
      <c r="BF154" s="49"/>
      <c r="BG154" s="49"/>
      <c r="BH154" s="49"/>
      <c r="BI154" s="49"/>
      <c r="BJ154" s="49"/>
      <c r="BK154" s="115" t="s">
        <v>1683</v>
      </c>
      <c r="BL154" s="115" t="s">
        <v>1683</v>
      </c>
      <c r="BM154" s="115" t="s">
        <v>1689</v>
      </c>
      <c r="BN154" s="115" t="s">
        <v>1689</v>
      </c>
      <c r="BO154" s="2"/>
      <c r="BP154" s="3"/>
      <c r="BQ154" s="3"/>
      <c r="BR154" s="3"/>
      <c r="BS154" s="3"/>
    </row>
    <row r="155" spans="1:71" ht="15">
      <c r="A155" s="66" t="s">
        <v>374</v>
      </c>
      <c r="B155" s="67"/>
      <c r="C155" s="67"/>
      <c r="D155" s="68">
        <v>150</v>
      </c>
      <c r="E155" s="70"/>
      <c r="F155" s="103" t="str">
        <f>HYPERLINK("https://yt3.ggpht.com/oAUcZrO6qhyzVmXtqtEw2AOyX_ef1YaDzFNDmsrh8Hcej-Okg1d_hy8vSweKOnymMhn_yR5fTQ=s88-c-k-c0x00ffffff-no-rj")</f>
        <v>https://yt3.ggpht.com/oAUcZrO6qhyzVmXtqtEw2AOyX_ef1YaDzFNDmsrh8Hcej-Okg1d_hy8vSweKOnymMhn_yR5fTQ=s88-c-k-c0x00ffffff-no-rj</v>
      </c>
      <c r="G155" s="67"/>
      <c r="H155" s="71" t="s">
        <v>776</v>
      </c>
      <c r="I155" s="72"/>
      <c r="J155" s="72" t="s">
        <v>159</v>
      </c>
      <c r="K155" s="71" t="s">
        <v>776</v>
      </c>
      <c r="L155" s="75">
        <v>1</v>
      </c>
      <c r="M155" s="76">
        <v>7247.8154296875</v>
      </c>
      <c r="N155" s="76">
        <v>7915.875</v>
      </c>
      <c r="O155" s="77"/>
      <c r="P155" s="78"/>
      <c r="Q155" s="78"/>
      <c r="R155" s="89"/>
      <c r="S155" s="49">
        <v>1</v>
      </c>
      <c r="T155" s="49">
        <v>1</v>
      </c>
      <c r="U155" s="50">
        <v>0</v>
      </c>
      <c r="V155" s="50">
        <v>0</v>
      </c>
      <c r="W155" s="50">
        <v>0</v>
      </c>
      <c r="X155" s="50">
        <v>0.005525</v>
      </c>
      <c r="Y155" s="50">
        <v>0</v>
      </c>
      <c r="Z155" s="50">
        <v>0</v>
      </c>
      <c r="AA155" s="73">
        <v>155</v>
      </c>
      <c r="AB155" s="73"/>
      <c r="AC155" s="74"/>
      <c r="AD155" s="81" t="s">
        <v>776</v>
      </c>
      <c r="AE155" s="81" t="s">
        <v>852</v>
      </c>
      <c r="AF155" s="81"/>
      <c r="AG155" s="81"/>
      <c r="AH155" s="81"/>
      <c r="AI155" s="81" t="s">
        <v>1027</v>
      </c>
      <c r="AJ155" s="85">
        <v>39979.99400462963</v>
      </c>
      <c r="AK155" s="83" t="str">
        <f>HYPERLINK("https://yt3.ggpht.com/oAUcZrO6qhyzVmXtqtEw2AOyX_ef1YaDzFNDmsrh8Hcej-Okg1d_hy8vSweKOnymMhn_yR5fTQ=s88-c-k-c0x00ffffff-no-rj")</f>
        <v>https://yt3.ggpht.com/oAUcZrO6qhyzVmXtqtEw2AOyX_ef1YaDzFNDmsrh8Hcej-Okg1d_hy8vSweKOnymMhn_yR5fTQ=s88-c-k-c0x00ffffff-no-rj</v>
      </c>
      <c r="AL155" s="81">
        <v>447734</v>
      </c>
      <c r="AM155" s="81">
        <v>0</v>
      </c>
      <c r="AN155" s="81">
        <v>891</v>
      </c>
      <c r="AO155" s="81" t="b">
        <v>0</v>
      </c>
      <c r="AP155" s="81">
        <v>808</v>
      </c>
      <c r="AQ155" s="81"/>
      <c r="AR155" s="81"/>
      <c r="AS155" s="81" t="s">
        <v>1057</v>
      </c>
      <c r="AT155" s="83" t="str">
        <f>HYPERLINK("https://www.youtube.com/channel/UCi_h48HRXz_Kznn-eNI-quA")</f>
        <v>https://www.youtube.com/channel/UCi_h48HRXz_Kznn-eNI-quA</v>
      </c>
      <c r="AU155" s="81">
        <v>2</v>
      </c>
      <c r="AV155" s="49"/>
      <c r="AW155" s="50"/>
      <c r="AX155" s="49"/>
      <c r="AY155" s="50"/>
      <c r="AZ155" s="49"/>
      <c r="BA155" s="50"/>
      <c r="BB155" s="49"/>
      <c r="BC155" s="50"/>
      <c r="BD155" s="49"/>
      <c r="BE155" s="49"/>
      <c r="BF155" s="49"/>
      <c r="BG155" s="49"/>
      <c r="BH155" s="49"/>
      <c r="BI155" s="49"/>
      <c r="BJ155" s="49"/>
      <c r="BK155" s="115" t="s">
        <v>1634</v>
      </c>
      <c r="BL155" s="115" t="s">
        <v>1634</v>
      </c>
      <c r="BM155" s="115" t="s">
        <v>1634</v>
      </c>
      <c r="BN155" s="115" t="s">
        <v>1634</v>
      </c>
      <c r="BO155" s="2"/>
      <c r="BP155" s="3"/>
      <c r="BQ155" s="3"/>
      <c r="BR155" s="3"/>
      <c r="BS155" s="3"/>
    </row>
    <row r="156" spans="1:71" ht="15">
      <c r="A156" s="66" t="s">
        <v>375</v>
      </c>
      <c r="B156" s="67"/>
      <c r="C156" s="67"/>
      <c r="D156" s="68">
        <v>150</v>
      </c>
      <c r="E156" s="70"/>
      <c r="F156" s="103" t="str">
        <f>HYPERLINK("https://yt3.ggpht.com/ytc/AOPolaTQ9yh07Dco2tQsNUUcnoCkNrtoz6fIQZYC7I0qpA=s88-c-k-c0x00ffffff-no-rj")</f>
        <v>https://yt3.ggpht.com/ytc/AOPolaTQ9yh07Dco2tQsNUUcnoCkNrtoz6fIQZYC7I0qpA=s88-c-k-c0x00ffffff-no-rj</v>
      </c>
      <c r="G156" s="67"/>
      <c r="H156" s="71" t="s">
        <v>777</v>
      </c>
      <c r="I156" s="72"/>
      <c r="J156" s="72" t="s">
        <v>159</v>
      </c>
      <c r="K156" s="71" t="s">
        <v>777</v>
      </c>
      <c r="L156" s="75">
        <v>1</v>
      </c>
      <c r="M156" s="76">
        <v>7835.6015625</v>
      </c>
      <c r="N156" s="76">
        <v>7915.875</v>
      </c>
      <c r="O156" s="77"/>
      <c r="P156" s="78"/>
      <c r="Q156" s="78"/>
      <c r="R156" s="89"/>
      <c r="S156" s="49">
        <v>1</v>
      </c>
      <c r="T156" s="49">
        <v>1</v>
      </c>
      <c r="U156" s="50">
        <v>0</v>
      </c>
      <c r="V156" s="50">
        <v>0</v>
      </c>
      <c r="W156" s="50">
        <v>0</v>
      </c>
      <c r="X156" s="50">
        <v>0.005525</v>
      </c>
      <c r="Y156" s="50">
        <v>0</v>
      </c>
      <c r="Z156" s="50">
        <v>0</v>
      </c>
      <c r="AA156" s="73">
        <v>156</v>
      </c>
      <c r="AB156" s="73"/>
      <c r="AC156" s="74"/>
      <c r="AD156" s="81" t="s">
        <v>777</v>
      </c>
      <c r="AE156" s="81" t="s">
        <v>853</v>
      </c>
      <c r="AF156" s="81"/>
      <c r="AG156" s="81"/>
      <c r="AH156" s="81"/>
      <c r="AI156" s="81" t="s">
        <v>1028</v>
      </c>
      <c r="AJ156" s="85">
        <v>41374.91924768518</v>
      </c>
      <c r="AK156" s="83" t="str">
        <f>HYPERLINK("https://yt3.ggpht.com/ytc/AOPolaTQ9yh07Dco2tQsNUUcnoCkNrtoz6fIQZYC7I0qpA=s88-c-k-c0x00ffffff-no-rj")</f>
        <v>https://yt3.ggpht.com/ytc/AOPolaTQ9yh07Dco2tQsNUUcnoCkNrtoz6fIQZYC7I0qpA=s88-c-k-c0x00ffffff-no-rj</v>
      </c>
      <c r="AL156" s="81">
        <v>257221</v>
      </c>
      <c r="AM156" s="81">
        <v>0</v>
      </c>
      <c r="AN156" s="81">
        <v>2830</v>
      </c>
      <c r="AO156" s="81" t="b">
        <v>0</v>
      </c>
      <c r="AP156" s="81">
        <v>473</v>
      </c>
      <c r="AQ156" s="81"/>
      <c r="AR156" s="81"/>
      <c r="AS156" s="81" t="s">
        <v>1057</v>
      </c>
      <c r="AT156" s="83" t="str">
        <f>HYPERLINK("https://www.youtube.com/channel/UCmXX0HRsPEzYI272VFxzC0w")</f>
        <v>https://www.youtube.com/channel/UCmXX0HRsPEzYI272VFxzC0w</v>
      </c>
      <c r="AU156" s="81">
        <v>2</v>
      </c>
      <c r="AV156" s="49"/>
      <c r="AW156" s="50"/>
      <c r="AX156" s="49"/>
      <c r="AY156" s="50"/>
      <c r="AZ156" s="49"/>
      <c r="BA156" s="50"/>
      <c r="BB156" s="49"/>
      <c r="BC156" s="50"/>
      <c r="BD156" s="49"/>
      <c r="BE156" s="49"/>
      <c r="BF156" s="49"/>
      <c r="BG156" s="49"/>
      <c r="BH156" s="49"/>
      <c r="BI156" s="49"/>
      <c r="BJ156" s="49"/>
      <c r="BK156" s="115" t="s">
        <v>1634</v>
      </c>
      <c r="BL156" s="115" t="s">
        <v>1634</v>
      </c>
      <c r="BM156" s="115" t="s">
        <v>1634</v>
      </c>
      <c r="BN156" s="115" t="s">
        <v>1634</v>
      </c>
      <c r="BO156" s="2"/>
      <c r="BP156" s="3"/>
      <c r="BQ156" s="3"/>
      <c r="BR156" s="3"/>
      <c r="BS156" s="3"/>
    </row>
    <row r="157" spans="1:71" ht="15">
      <c r="A157" s="66" t="s">
        <v>376</v>
      </c>
      <c r="B157" s="67"/>
      <c r="C157" s="67"/>
      <c r="D157" s="68">
        <v>150</v>
      </c>
      <c r="E157" s="70"/>
      <c r="F157" s="103" t="str">
        <f>HYPERLINK("https://yt3.ggpht.com/ytc/AOPolaQppP839ZPWWwWnAlYL3sT8C4XRKkw0yXOnjaYi=s88-c-k-c0x00ffffff-no-rj")</f>
        <v>https://yt3.ggpht.com/ytc/AOPolaQppP839ZPWWwWnAlYL3sT8C4XRKkw0yXOnjaYi=s88-c-k-c0x00ffffff-no-rj</v>
      </c>
      <c r="G157" s="67"/>
      <c r="H157" s="71" t="s">
        <v>778</v>
      </c>
      <c r="I157" s="72"/>
      <c r="J157" s="72" t="s">
        <v>159</v>
      </c>
      <c r="K157" s="71" t="s">
        <v>778</v>
      </c>
      <c r="L157" s="75">
        <v>1</v>
      </c>
      <c r="M157" s="76">
        <v>8423.3876953125</v>
      </c>
      <c r="N157" s="76">
        <v>7915.875</v>
      </c>
      <c r="O157" s="77"/>
      <c r="P157" s="78"/>
      <c r="Q157" s="78"/>
      <c r="R157" s="89"/>
      <c r="S157" s="49">
        <v>1</v>
      </c>
      <c r="T157" s="49">
        <v>1</v>
      </c>
      <c r="U157" s="50">
        <v>0</v>
      </c>
      <c r="V157" s="50">
        <v>0</v>
      </c>
      <c r="W157" s="50">
        <v>0</v>
      </c>
      <c r="X157" s="50">
        <v>0.005525</v>
      </c>
      <c r="Y157" s="50">
        <v>0</v>
      </c>
      <c r="Z157" s="50">
        <v>0</v>
      </c>
      <c r="AA157" s="73">
        <v>157</v>
      </c>
      <c r="AB157" s="73"/>
      <c r="AC157" s="74"/>
      <c r="AD157" s="81" t="s">
        <v>778</v>
      </c>
      <c r="AE157" s="81" t="s">
        <v>854</v>
      </c>
      <c r="AF157" s="81"/>
      <c r="AG157" s="81"/>
      <c r="AH157" s="81"/>
      <c r="AI157" s="81" t="s">
        <v>1029</v>
      </c>
      <c r="AJ157" s="85">
        <v>43923.647627314815</v>
      </c>
      <c r="AK157" s="83" t="str">
        <f>HYPERLINK("https://yt3.ggpht.com/ytc/AOPolaQppP839ZPWWwWnAlYL3sT8C4XRKkw0yXOnjaYi=s88-c-k-c0x00ffffff-no-rj")</f>
        <v>https://yt3.ggpht.com/ytc/AOPolaQppP839ZPWWwWnAlYL3sT8C4XRKkw0yXOnjaYi=s88-c-k-c0x00ffffff-no-rj</v>
      </c>
      <c r="AL157" s="81">
        <v>50924</v>
      </c>
      <c r="AM157" s="81">
        <v>0</v>
      </c>
      <c r="AN157" s="81">
        <v>592</v>
      </c>
      <c r="AO157" s="81" t="b">
        <v>0</v>
      </c>
      <c r="AP157" s="81">
        <v>77</v>
      </c>
      <c r="AQ157" s="81"/>
      <c r="AR157" s="81"/>
      <c r="AS157" s="81" t="s">
        <v>1057</v>
      </c>
      <c r="AT157" s="83" t="str">
        <f>HYPERLINK("https://www.youtube.com/channel/UCvGQj9GliSYQTkIpHAP32sw")</f>
        <v>https://www.youtube.com/channel/UCvGQj9GliSYQTkIpHAP32sw</v>
      </c>
      <c r="AU157" s="81">
        <v>2</v>
      </c>
      <c r="AV157" s="49"/>
      <c r="AW157" s="50"/>
      <c r="AX157" s="49"/>
      <c r="AY157" s="50"/>
      <c r="AZ157" s="49"/>
      <c r="BA157" s="50"/>
      <c r="BB157" s="49"/>
      <c r="BC157" s="50"/>
      <c r="BD157" s="49"/>
      <c r="BE157" s="49"/>
      <c r="BF157" s="49"/>
      <c r="BG157" s="49"/>
      <c r="BH157" s="49"/>
      <c r="BI157" s="49"/>
      <c r="BJ157" s="49"/>
      <c r="BK157" s="115" t="s">
        <v>1634</v>
      </c>
      <c r="BL157" s="115" t="s">
        <v>1634</v>
      </c>
      <c r="BM157" s="115" t="s">
        <v>1634</v>
      </c>
      <c r="BN157" s="115" t="s">
        <v>1634</v>
      </c>
      <c r="BO157" s="2"/>
      <c r="BP157" s="3"/>
      <c r="BQ157" s="3"/>
      <c r="BR157" s="3"/>
      <c r="BS157" s="3"/>
    </row>
    <row r="158" spans="1:71" ht="15">
      <c r="A158" s="66" t="s">
        <v>377</v>
      </c>
      <c r="B158" s="67"/>
      <c r="C158" s="67"/>
      <c r="D158" s="68">
        <v>150</v>
      </c>
      <c r="E158" s="70"/>
      <c r="F158" s="103" t="str">
        <f>HYPERLINK("https://yt3.ggpht.com/ytc/AOPolaRGitOJSYXhMDbeCkHGV7it7A08GZUIWDTuuEVz=s88-c-k-c0x00ffffff-no-rj")</f>
        <v>https://yt3.ggpht.com/ytc/AOPolaRGitOJSYXhMDbeCkHGV7it7A08GZUIWDTuuEVz=s88-c-k-c0x00ffffff-no-rj</v>
      </c>
      <c r="G158" s="67"/>
      <c r="H158" s="71" t="s">
        <v>779</v>
      </c>
      <c r="I158" s="72"/>
      <c r="J158" s="72" t="s">
        <v>159</v>
      </c>
      <c r="K158" s="71" t="s">
        <v>779</v>
      </c>
      <c r="L158" s="75">
        <v>1</v>
      </c>
      <c r="M158" s="76">
        <v>6660.029296875</v>
      </c>
      <c r="N158" s="76">
        <v>7915.875</v>
      </c>
      <c r="O158" s="77"/>
      <c r="P158" s="78"/>
      <c r="Q158" s="78"/>
      <c r="R158" s="89"/>
      <c r="S158" s="49">
        <v>1</v>
      </c>
      <c r="T158" s="49">
        <v>1</v>
      </c>
      <c r="U158" s="50">
        <v>0</v>
      </c>
      <c r="V158" s="50">
        <v>0</v>
      </c>
      <c r="W158" s="50">
        <v>0</v>
      </c>
      <c r="X158" s="50">
        <v>0.005525</v>
      </c>
      <c r="Y158" s="50">
        <v>0</v>
      </c>
      <c r="Z158" s="50">
        <v>0</v>
      </c>
      <c r="AA158" s="73">
        <v>158</v>
      </c>
      <c r="AB158" s="73"/>
      <c r="AC158" s="74"/>
      <c r="AD158" s="81" t="s">
        <v>779</v>
      </c>
      <c r="AE158" s="81"/>
      <c r="AF158" s="81"/>
      <c r="AG158" s="81"/>
      <c r="AH158" s="81"/>
      <c r="AI158" s="81" t="s">
        <v>1030</v>
      </c>
      <c r="AJ158" s="85">
        <v>42115.58671296296</v>
      </c>
      <c r="AK158" s="83" t="str">
        <f>HYPERLINK("https://yt3.ggpht.com/ytc/AOPolaRGitOJSYXhMDbeCkHGV7it7A08GZUIWDTuuEVz=s88-c-k-c0x00ffffff-no-rj")</f>
        <v>https://yt3.ggpht.com/ytc/AOPolaRGitOJSYXhMDbeCkHGV7it7A08GZUIWDTuuEVz=s88-c-k-c0x00ffffff-no-rj</v>
      </c>
      <c r="AL158" s="81">
        <v>790</v>
      </c>
      <c r="AM158" s="81">
        <v>0</v>
      </c>
      <c r="AN158" s="81">
        <v>12</v>
      </c>
      <c r="AO158" s="81" t="b">
        <v>0</v>
      </c>
      <c r="AP158" s="81">
        <v>6</v>
      </c>
      <c r="AQ158" s="81"/>
      <c r="AR158" s="81"/>
      <c r="AS158" s="81" t="s">
        <v>1057</v>
      </c>
      <c r="AT158" s="83" t="str">
        <f>HYPERLINK("https://www.youtube.com/channel/UCVcMchUDm3C9tVQzmJpka4g")</f>
        <v>https://www.youtube.com/channel/UCVcMchUDm3C9tVQzmJpka4g</v>
      </c>
      <c r="AU158" s="81">
        <v>2</v>
      </c>
      <c r="AV158" s="49"/>
      <c r="AW158" s="50"/>
      <c r="AX158" s="49"/>
      <c r="AY158" s="50"/>
      <c r="AZ158" s="49"/>
      <c r="BA158" s="50"/>
      <c r="BB158" s="49"/>
      <c r="BC158" s="50"/>
      <c r="BD158" s="49"/>
      <c r="BE158" s="49"/>
      <c r="BF158" s="49"/>
      <c r="BG158" s="49"/>
      <c r="BH158" s="49"/>
      <c r="BI158" s="49"/>
      <c r="BJ158" s="49"/>
      <c r="BK158" s="115" t="s">
        <v>1634</v>
      </c>
      <c r="BL158" s="115" t="s">
        <v>1634</v>
      </c>
      <c r="BM158" s="115" t="s">
        <v>1634</v>
      </c>
      <c r="BN158" s="115" t="s">
        <v>1634</v>
      </c>
      <c r="BO158" s="2"/>
      <c r="BP158" s="3"/>
      <c r="BQ158" s="3"/>
      <c r="BR158" s="3"/>
      <c r="BS158" s="3"/>
    </row>
    <row r="159" spans="1:71" ht="15">
      <c r="A159" s="66" t="s">
        <v>378</v>
      </c>
      <c r="B159" s="67"/>
      <c r="C159" s="67"/>
      <c r="D159" s="68">
        <v>150</v>
      </c>
      <c r="E159" s="70"/>
      <c r="F159" s="103" t="str">
        <f>HYPERLINK("https://yt3.ggpht.com/ceA7nVLgtEtZ3z_7y6OSRc_TgyCnTdocoolGYO424uajgXm-u3wXfeG5ba5TETCFiPSN2q5J=s88-c-k-c0x00ffffff-no-rj")</f>
        <v>https://yt3.ggpht.com/ceA7nVLgtEtZ3z_7y6OSRc_TgyCnTdocoolGYO424uajgXm-u3wXfeG5ba5TETCFiPSN2q5J=s88-c-k-c0x00ffffff-no-rj</v>
      </c>
      <c r="G159" s="67"/>
      <c r="H159" s="71" t="s">
        <v>780</v>
      </c>
      <c r="I159" s="72"/>
      <c r="J159" s="72" t="s">
        <v>159</v>
      </c>
      <c r="K159" s="71" t="s">
        <v>780</v>
      </c>
      <c r="L159" s="75">
        <v>1</v>
      </c>
      <c r="M159" s="76">
        <v>9598.9599609375</v>
      </c>
      <c r="N159" s="76">
        <v>8691.6591796875</v>
      </c>
      <c r="O159" s="77"/>
      <c r="P159" s="78"/>
      <c r="Q159" s="78"/>
      <c r="R159" s="89"/>
      <c r="S159" s="49">
        <v>1</v>
      </c>
      <c r="T159" s="49">
        <v>1</v>
      </c>
      <c r="U159" s="50">
        <v>0</v>
      </c>
      <c r="V159" s="50">
        <v>0</v>
      </c>
      <c r="W159" s="50">
        <v>0</v>
      </c>
      <c r="X159" s="50">
        <v>0.005525</v>
      </c>
      <c r="Y159" s="50">
        <v>0</v>
      </c>
      <c r="Z159" s="50">
        <v>0</v>
      </c>
      <c r="AA159" s="73">
        <v>159</v>
      </c>
      <c r="AB159" s="73"/>
      <c r="AC159" s="74"/>
      <c r="AD159" s="81" t="s">
        <v>780</v>
      </c>
      <c r="AE159" s="81" t="s">
        <v>855</v>
      </c>
      <c r="AF159" s="81"/>
      <c r="AG159" s="81"/>
      <c r="AH159" s="81"/>
      <c r="AI159" s="81" t="s">
        <v>1031</v>
      </c>
      <c r="AJ159" s="85">
        <v>43651.618310185186</v>
      </c>
      <c r="AK159" s="83" t="str">
        <f>HYPERLINK("https://yt3.ggpht.com/ceA7nVLgtEtZ3z_7y6OSRc_TgyCnTdocoolGYO424uajgXm-u3wXfeG5ba5TETCFiPSN2q5J=s88-c-k-c0x00ffffff-no-rj")</f>
        <v>https://yt3.ggpht.com/ceA7nVLgtEtZ3z_7y6OSRc_TgyCnTdocoolGYO424uajgXm-u3wXfeG5ba5TETCFiPSN2q5J=s88-c-k-c0x00ffffff-no-rj</v>
      </c>
      <c r="AL159" s="81">
        <v>591</v>
      </c>
      <c r="AM159" s="81">
        <v>0</v>
      </c>
      <c r="AN159" s="81">
        <v>38</v>
      </c>
      <c r="AO159" s="81" t="b">
        <v>0</v>
      </c>
      <c r="AP159" s="81">
        <v>19</v>
      </c>
      <c r="AQ159" s="81"/>
      <c r="AR159" s="81"/>
      <c r="AS159" s="81" t="s">
        <v>1057</v>
      </c>
      <c r="AT159" s="83" t="str">
        <f>HYPERLINK("https://www.youtube.com/channel/UCXyTH0aBRwsNlG_05k-XM6A")</f>
        <v>https://www.youtube.com/channel/UCXyTH0aBRwsNlG_05k-XM6A</v>
      </c>
      <c r="AU159" s="81">
        <v>2</v>
      </c>
      <c r="AV159" s="49"/>
      <c r="AW159" s="50"/>
      <c r="AX159" s="49"/>
      <c r="AY159" s="50"/>
      <c r="AZ159" s="49"/>
      <c r="BA159" s="50"/>
      <c r="BB159" s="49"/>
      <c r="BC159" s="50"/>
      <c r="BD159" s="49"/>
      <c r="BE159" s="49"/>
      <c r="BF159" s="49"/>
      <c r="BG159" s="49"/>
      <c r="BH159" s="49"/>
      <c r="BI159" s="49"/>
      <c r="BJ159" s="49"/>
      <c r="BK159" s="115" t="s">
        <v>1634</v>
      </c>
      <c r="BL159" s="115" t="s">
        <v>1634</v>
      </c>
      <c r="BM159" s="115" t="s">
        <v>1634</v>
      </c>
      <c r="BN159" s="115" t="s">
        <v>1634</v>
      </c>
      <c r="BO159" s="2"/>
      <c r="BP159" s="3"/>
      <c r="BQ159" s="3"/>
      <c r="BR159" s="3"/>
      <c r="BS159" s="3"/>
    </row>
    <row r="160" spans="1:71" ht="15">
      <c r="A160" s="66" t="s">
        <v>379</v>
      </c>
      <c r="B160" s="67"/>
      <c r="C160" s="67"/>
      <c r="D160" s="68">
        <v>150</v>
      </c>
      <c r="E160" s="70"/>
      <c r="F160" s="103" t="str">
        <f>HYPERLINK("https://yt3.ggpht.com/ytc/AOPolaSbEC_f8ayQoU8PLYIXew9vWlKPKbeW_XMDvA=s88-c-k-c0x00ffffff-no-rj")</f>
        <v>https://yt3.ggpht.com/ytc/AOPolaSbEC_f8ayQoU8PLYIXew9vWlKPKbeW_XMDvA=s88-c-k-c0x00ffffff-no-rj</v>
      </c>
      <c r="G160" s="67"/>
      <c r="H160" s="71" t="s">
        <v>781</v>
      </c>
      <c r="I160" s="72"/>
      <c r="J160" s="72" t="s">
        <v>159</v>
      </c>
      <c r="K160" s="71" t="s">
        <v>781</v>
      </c>
      <c r="L160" s="75">
        <v>1</v>
      </c>
      <c r="M160" s="76">
        <v>5484.45703125</v>
      </c>
      <c r="N160" s="76">
        <v>7915.875</v>
      </c>
      <c r="O160" s="77"/>
      <c r="P160" s="78"/>
      <c r="Q160" s="78"/>
      <c r="R160" s="89"/>
      <c r="S160" s="49">
        <v>1</v>
      </c>
      <c r="T160" s="49">
        <v>1</v>
      </c>
      <c r="U160" s="50">
        <v>0</v>
      </c>
      <c r="V160" s="50">
        <v>0</v>
      </c>
      <c r="W160" s="50">
        <v>0</v>
      </c>
      <c r="X160" s="50">
        <v>0.005525</v>
      </c>
      <c r="Y160" s="50">
        <v>0</v>
      </c>
      <c r="Z160" s="50">
        <v>0</v>
      </c>
      <c r="AA160" s="73">
        <v>160</v>
      </c>
      <c r="AB160" s="73"/>
      <c r="AC160" s="74"/>
      <c r="AD160" s="81" t="s">
        <v>781</v>
      </c>
      <c r="AE160" s="81"/>
      <c r="AF160" s="81"/>
      <c r="AG160" s="81"/>
      <c r="AH160" s="81"/>
      <c r="AI160" s="81" t="s">
        <v>1032</v>
      </c>
      <c r="AJ160" s="85">
        <v>42256.868842592594</v>
      </c>
      <c r="AK160" s="83" t="str">
        <f>HYPERLINK("https://yt3.ggpht.com/ytc/AOPolaSbEC_f8ayQoU8PLYIXew9vWlKPKbeW_XMDvA=s88-c-k-c0x00ffffff-no-rj")</f>
        <v>https://yt3.ggpht.com/ytc/AOPolaSbEC_f8ayQoU8PLYIXew9vWlKPKbeW_XMDvA=s88-c-k-c0x00ffffff-no-rj</v>
      </c>
      <c r="AL160" s="81">
        <v>357</v>
      </c>
      <c r="AM160" s="81">
        <v>0</v>
      </c>
      <c r="AN160" s="81">
        <v>7</v>
      </c>
      <c r="AO160" s="81" t="b">
        <v>0</v>
      </c>
      <c r="AP160" s="81">
        <v>4</v>
      </c>
      <c r="AQ160" s="81"/>
      <c r="AR160" s="81"/>
      <c r="AS160" s="81" t="s">
        <v>1057</v>
      </c>
      <c r="AT160" s="83" t="str">
        <f>HYPERLINK("https://www.youtube.com/channel/UCmLRbJDeT4YMDaOWWLEvCFA")</f>
        <v>https://www.youtube.com/channel/UCmLRbJDeT4YMDaOWWLEvCFA</v>
      </c>
      <c r="AU160" s="81">
        <v>2</v>
      </c>
      <c r="AV160" s="49"/>
      <c r="AW160" s="50"/>
      <c r="AX160" s="49"/>
      <c r="AY160" s="50"/>
      <c r="AZ160" s="49"/>
      <c r="BA160" s="50"/>
      <c r="BB160" s="49"/>
      <c r="BC160" s="50"/>
      <c r="BD160" s="49"/>
      <c r="BE160" s="49"/>
      <c r="BF160" s="49"/>
      <c r="BG160" s="49"/>
      <c r="BH160" s="49"/>
      <c r="BI160" s="49"/>
      <c r="BJ160" s="49"/>
      <c r="BK160" s="115" t="s">
        <v>1634</v>
      </c>
      <c r="BL160" s="115" t="s">
        <v>1634</v>
      </c>
      <c r="BM160" s="115" t="s">
        <v>1634</v>
      </c>
      <c r="BN160" s="115" t="s">
        <v>1634</v>
      </c>
      <c r="BO160" s="2"/>
      <c r="BP160" s="3"/>
      <c r="BQ160" s="3"/>
      <c r="BR160" s="3"/>
      <c r="BS160" s="3"/>
    </row>
    <row r="161" spans="1:71" ht="15">
      <c r="A161" s="66" t="s">
        <v>380</v>
      </c>
      <c r="B161" s="67"/>
      <c r="C161" s="67"/>
      <c r="D161" s="68">
        <v>150</v>
      </c>
      <c r="E161" s="70"/>
      <c r="F161" s="103" t="str">
        <f>HYPERLINK("https://yt3.ggpht.com/FHbAlaw4aaOzUF6hvmVUc5srA5GZPCkLQl3MCVQou_nyKWCb3fOgCi4qNIKYirLB-OMKf1xb=s88-c-k-c0x00ffffff-no-rj")</f>
        <v>https://yt3.ggpht.com/FHbAlaw4aaOzUF6hvmVUc5srA5GZPCkLQl3MCVQou_nyKWCb3fOgCi4qNIKYirLB-OMKf1xb=s88-c-k-c0x00ffffff-no-rj</v>
      </c>
      <c r="G161" s="67"/>
      <c r="H161" s="71" t="s">
        <v>782</v>
      </c>
      <c r="I161" s="72"/>
      <c r="J161" s="72" t="s">
        <v>159</v>
      </c>
      <c r="K161" s="71" t="s">
        <v>782</v>
      </c>
      <c r="L161" s="75">
        <v>1</v>
      </c>
      <c r="M161" s="76">
        <v>6072.2431640625</v>
      </c>
      <c r="N161" s="76">
        <v>7915.875</v>
      </c>
      <c r="O161" s="77"/>
      <c r="P161" s="78"/>
      <c r="Q161" s="78"/>
      <c r="R161" s="89"/>
      <c r="S161" s="49">
        <v>1</v>
      </c>
      <c r="T161" s="49">
        <v>1</v>
      </c>
      <c r="U161" s="50">
        <v>0</v>
      </c>
      <c r="V161" s="50">
        <v>0</v>
      </c>
      <c r="W161" s="50">
        <v>0</v>
      </c>
      <c r="X161" s="50">
        <v>0.005525</v>
      </c>
      <c r="Y161" s="50">
        <v>0</v>
      </c>
      <c r="Z161" s="50">
        <v>0</v>
      </c>
      <c r="AA161" s="73">
        <v>161</v>
      </c>
      <c r="AB161" s="73"/>
      <c r="AC161" s="74"/>
      <c r="AD161" s="81" t="s">
        <v>782</v>
      </c>
      <c r="AE161" s="81" t="s">
        <v>856</v>
      </c>
      <c r="AF161" s="81"/>
      <c r="AG161" s="81"/>
      <c r="AH161" s="81"/>
      <c r="AI161" s="81" t="s">
        <v>1033</v>
      </c>
      <c r="AJ161" s="85">
        <v>41248.8843287037</v>
      </c>
      <c r="AK161" s="83" t="str">
        <f>HYPERLINK("https://yt3.ggpht.com/FHbAlaw4aaOzUF6hvmVUc5srA5GZPCkLQl3MCVQou_nyKWCb3fOgCi4qNIKYirLB-OMKf1xb=s88-c-k-c0x00ffffff-no-rj")</f>
        <v>https://yt3.ggpht.com/FHbAlaw4aaOzUF6hvmVUc5srA5GZPCkLQl3MCVQou_nyKWCb3fOgCi4qNIKYirLB-OMKf1xb=s88-c-k-c0x00ffffff-no-rj</v>
      </c>
      <c r="AL161" s="81">
        <v>26554</v>
      </c>
      <c r="AM161" s="81">
        <v>0</v>
      </c>
      <c r="AN161" s="81">
        <v>256</v>
      </c>
      <c r="AO161" s="81" t="b">
        <v>0</v>
      </c>
      <c r="AP161" s="81">
        <v>217</v>
      </c>
      <c r="AQ161" s="81"/>
      <c r="AR161" s="81"/>
      <c r="AS161" s="81" t="s">
        <v>1057</v>
      </c>
      <c r="AT161" s="83" t="str">
        <f>HYPERLINK("https://www.youtube.com/channel/UCw7po6y6isu4SW6IfnBikjg")</f>
        <v>https://www.youtube.com/channel/UCw7po6y6isu4SW6IfnBikjg</v>
      </c>
      <c r="AU161" s="81">
        <v>2</v>
      </c>
      <c r="AV161" s="49"/>
      <c r="AW161" s="50"/>
      <c r="AX161" s="49"/>
      <c r="AY161" s="50"/>
      <c r="AZ161" s="49"/>
      <c r="BA161" s="50"/>
      <c r="BB161" s="49"/>
      <c r="BC161" s="50"/>
      <c r="BD161" s="49"/>
      <c r="BE161" s="49"/>
      <c r="BF161" s="49"/>
      <c r="BG161" s="49"/>
      <c r="BH161" s="49"/>
      <c r="BI161" s="49"/>
      <c r="BJ161" s="49"/>
      <c r="BK161" s="115" t="s">
        <v>1634</v>
      </c>
      <c r="BL161" s="115" t="s">
        <v>1634</v>
      </c>
      <c r="BM161" s="115" t="s">
        <v>1634</v>
      </c>
      <c r="BN161" s="115" t="s">
        <v>1634</v>
      </c>
      <c r="BO161" s="2"/>
      <c r="BP161" s="3"/>
      <c r="BQ161" s="3"/>
      <c r="BR161" s="3"/>
      <c r="BS161" s="3"/>
    </row>
    <row r="162" spans="1:71" ht="15">
      <c r="A162" s="66" t="s">
        <v>381</v>
      </c>
      <c r="B162" s="67"/>
      <c r="C162" s="67"/>
      <c r="D162" s="68">
        <v>150</v>
      </c>
      <c r="E162" s="70"/>
      <c r="F162" s="103" t="str">
        <f>HYPERLINK("https://yt3.ggpht.com/2LHn8OjlC6kVN1UXCb9FqQZHV8Dfehizn96l_60PwiB99qsq-xSuPf1K8QV-WuVyvOSdEiLoHw=s88-c-k-c0x00ffffff-no-rj")</f>
        <v>https://yt3.ggpht.com/2LHn8OjlC6kVN1UXCb9FqQZHV8Dfehizn96l_60PwiB99qsq-xSuPf1K8QV-WuVyvOSdEiLoHw=s88-c-k-c0x00ffffff-no-rj</v>
      </c>
      <c r="G162" s="67"/>
      <c r="H162" s="71" t="s">
        <v>783</v>
      </c>
      <c r="I162" s="72"/>
      <c r="J162" s="72" t="s">
        <v>159</v>
      </c>
      <c r="K162" s="71" t="s">
        <v>783</v>
      </c>
      <c r="L162" s="75">
        <v>1</v>
      </c>
      <c r="M162" s="76">
        <v>6660.029296875</v>
      </c>
      <c r="N162" s="76">
        <v>7140.09033203125</v>
      </c>
      <c r="O162" s="77"/>
      <c r="P162" s="78"/>
      <c r="Q162" s="78"/>
      <c r="R162" s="89"/>
      <c r="S162" s="49">
        <v>1</v>
      </c>
      <c r="T162" s="49">
        <v>1</v>
      </c>
      <c r="U162" s="50">
        <v>0</v>
      </c>
      <c r="V162" s="50">
        <v>0</v>
      </c>
      <c r="W162" s="50">
        <v>0</v>
      </c>
      <c r="X162" s="50">
        <v>0.005525</v>
      </c>
      <c r="Y162" s="50">
        <v>0</v>
      </c>
      <c r="Z162" s="50">
        <v>0</v>
      </c>
      <c r="AA162" s="73">
        <v>162</v>
      </c>
      <c r="AB162" s="73"/>
      <c r="AC162" s="74"/>
      <c r="AD162" s="81" t="s">
        <v>783</v>
      </c>
      <c r="AE162" s="81" t="s">
        <v>857</v>
      </c>
      <c r="AF162" s="81"/>
      <c r="AG162" s="81"/>
      <c r="AH162" s="81"/>
      <c r="AI162" s="81" t="s">
        <v>1034</v>
      </c>
      <c r="AJ162" s="85">
        <v>41971.117268518516</v>
      </c>
      <c r="AK162" s="83" t="str">
        <f>HYPERLINK("https://yt3.ggpht.com/2LHn8OjlC6kVN1UXCb9FqQZHV8Dfehizn96l_60PwiB99qsq-xSuPf1K8QV-WuVyvOSdEiLoHw=s88-c-k-c0x00ffffff-no-rj")</f>
        <v>https://yt3.ggpht.com/2LHn8OjlC6kVN1UXCb9FqQZHV8Dfehizn96l_60PwiB99qsq-xSuPf1K8QV-WuVyvOSdEiLoHw=s88-c-k-c0x00ffffff-no-rj</v>
      </c>
      <c r="AL162" s="81">
        <v>350566524</v>
      </c>
      <c r="AM162" s="81">
        <v>0</v>
      </c>
      <c r="AN162" s="81">
        <v>924000</v>
      </c>
      <c r="AO162" s="81" t="b">
        <v>0</v>
      </c>
      <c r="AP162" s="81">
        <v>94218</v>
      </c>
      <c r="AQ162" s="81"/>
      <c r="AR162" s="81"/>
      <c r="AS162" s="81" t="s">
        <v>1057</v>
      </c>
      <c r="AT162" s="83" t="str">
        <f>HYPERLINK("https://www.youtube.com/channel/UCgp4A6I8LCWrhUzn-5SbKvA")</f>
        <v>https://www.youtube.com/channel/UCgp4A6I8LCWrhUzn-5SbKvA</v>
      </c>
      <c r="AU162" s="81">
        <v>2</v>
      </c>
      <c r="AV162" s="49"/>
      <c r="AW162" s="50"/>
      <c r="AX162" s="49"/>
      <c r="AY162" s="50"/>
      <c r="AZ162" s="49"/>
      <c r="BA162" s="50"/>
      <c r="BB162" s="49"/>
      <c r="BC162" s="50"/>
      <c r="BD162" s="49"/>
      <c r="BE162" s="49"/>
      <c r="BF162" s="49"/>
      <c r="BG162" s="49"/>
      <c r="BH162" s="49"/>
      <c r="BI162" s="49"/>
      <c r="BJ162" s="49"/>
      <c r="BK162" s="115" t="s">
        <v>1634</v>
      </c>
      <c r="BL162" s="115" t="s">
        <v>1634</v>
      </c>
      <c r="BM162" s="115" t="s">
        <v>1634</v>
      </c>
      <c r="BN162" s="115" t="s">
        <v>1634</v>
      </c>
      <c r="BO162" s="2"/>
      <c r="BP162" s="3"/>
      <c r="BQ162" s="3"/>
      <c r="BR162" s="3"/>
      <c r="BS162" s="3"/>
    </row>
    <row r="163" spans="1:71" ht="15">
      <c r="A163" s="66" t="s">
        <v>382</v>
      </c>
      <c r="B163" s="67"/>
      <c r="C163" s="67"/>
      <c r="D163" s="68">
        <v>150</v>
      </c>
      <c r="E163" s="70"/>
      <c r="F163" s="103" t="str">
        <f>HYPERLINK("https://yt3.ggpht.com/ytc/AOPolaToDrlh_2hjPXj_IZj056t976ngrb0_wUxx0-fD=s88-c-k-c0x00ffffff-no-rj")</f>
        <v>https://yt3.ggpht.com/ytc/AOPolaToDrlh_2hjPXj_IZj056t976ngrb0_wUxx0-fD=s88-c-k-c0x00ffffff-no-rj</v>
      </c>
      <c r="G163" s="67"/>
      <c r="H163" s="71" t="s">
        <v>784</v>
      </c>
      <c r="I163" s="72"/>
      <c r="J163" s="72" t="s">
        <v>159</v>
      </c>
      <c r="K163" s="71" t="s">
        <v>784</v>
      </c>
      <c r="L163" s="75">
        <v>1</v>
      </c>
      <c r="M163" s="76">
        <v>7247.8154296875</v>
      </c>
      <c r="N163" s="76">
        <v>7140.09033203125</v>
      </c>
      <c r="O163" s="77"/>
      <c r="P163" s="78"/>
      <c r="Q163" s="78"/>
      <c r="R163" s="89"/>
      <c r="S163" s="49">
        <v>1</v>
      </c>
      <c r="T163" s="49">
        <v>1</v>
      </c>
      <c r="U163" s="50">
        <v>0</v>
      </c>
      <c r="V163" s="50">
        <v>0</v>
      </c>
      <c r="W163" s="50">
        <v>0</v>
      </c>
      <c r="X163" s="50">
        <v>0.005525</v>
      </c>
      <c r="Y163" s="50">
        <v>0</v>
      </c>
      <c r="Z163" s="50">
        <v>0</v>
      </c>
      <c r="AA163" s="73">
        <v>163</v>
      </c>
      <c r="AB163" s="73"/>
      <c r="AC163" s="74"/>
      <c r="AD163" s="81" t="s">
        <v>784</v>
      </c>
      <c r="AE163" s="81" t="s">
        <v>858</v>
      </c>
      <c r="AF163" s="81"/>
      <c r="AG163" s="81"/>
      <c r="AH163" s="81"/>
      <c r="AI163" s="81" t="s">
        <v>1035</v>
      </c>
      <c r="AJ163" s="85">
        <v>40058.92395833333</v>
      </c>
      <c r="AK163" s="83" t="str">
        <f>HYPERLINK("https://yt3.ggpht.com/ytc/AOPolaToDrlh_2hjPXj_IZj056t976ngrb0_wUxx0-fD=s88-c-k-c0x00ffffff-no-rj")</f>
        <v>https://yt3.ggpht.com/ytc/AOPolaToDrlh_2hjPXj_IZj056t976ngrb0_wUxx0-fD=s88-c-k-c0x00ffffff-no-rj</v>
      </c>
      <c r="AL163" s="81">
        <v>7494</v>
      </c>
      <c r="AM163" s="81">
        <v>0</v>
      </c>
      <c r="AN163" s="81">
        <v>33</v>
      </c>
      <c r="AO163" s="81" t="b">
        <v>0</v>
      </c>
      <c r="AP163" s="81">
        <v>13</v>
      </c>
      <c r="AQ163" s="81"/>
      <c r="AR163" s="81"/>
      <c r="AS163" s="81" t="s">
        <v>1057</v>
      </c>
      <c r="AT163" s="83" t="str">
        <f>HYPERLINK("https://www.youtube.com/channel/UCoEOlZceiKyFyviH3J0vEmQ")</f>
        <v>https://www.youtube.com/channel/UCoEOlZceiKyFyviH3J0vEmQ</v>
      </c>
      <c r="AU163" s="81">
        <v>2</v>
      </c>
      <c r="AV163" s="49"/>
      <c r="AW163" s="50"/>
      <c r="AX163" s="49"/>
      <c r="AY163" s="50"/>
      <c r="AZ163" s="49"/>
      <c r="BA163" s="50"/>
      <c r="BB163" s="49"/>
      <c r="BC163" s="50"/>
      <c r="BD163" s="49"/>
      <c r="BE163" s="49"/>
      <c r="BF163" s="49"/>
      <c r="BG163" s="49"/>
      <c r="BH163" s="49"/>
      <c r="BI163" s="49"/>
      <c r="BJ163" s="49"/>
      <c r="BK163" s="115" t="s">
        <v>1634</v>
      </c>
      <c r="BL163" s="115" t="s">
        <v>1634</v>
      </c>
      <c r="BM163" s="115" t="s">
        <v>1634</v>
      </c>
      <c r="BN163" s="115" t="s">
        <v>1634</v>
      </c>
      <c r="BO163" s="2"/>
      <c r="BP163" s="3"/>
      <c r="BQ163" s="3"/>
      <c r="BR163" s="3"/>
      <c r="BS163" s="3"/>
    </row>
    <row r="164" spans="1:71" ht="15">
      <c r="A164" s="66" t="s">
        <v>383</v>
      </c>
      <c r="B164" s="67"/>
      <c r="C164" s="67"/>
      <c r="D164" s="68">
        <v>150</v>
      </c>
      <c r="E164" s="70"/>
      <c r="F164" s="103" t="str">
        <f>HYPERLINK("https://yt3.ggpht.com/ytc/AOPolaSZKvMajHRa8nN0iOcI1D0y0CAqjF9KavzohekAeA=s88-c-k-c0x00ffffff-no-rj")</f>
        <v>https://yt3.ggpht.com/ytc/AOPolaSZKvMajHRa8nN0iOcI1D0y0CAqjF9KavzohekAeA=s88-c-k-c0x00ffffff-no-rj</v>
      </c>
      <c r="G164" s="67"/>
      <c r="H164" s="71" t="s">
        <v>785</v>
      </c>
      <c r="I164" s="72"/>
      <c r="J164" s="72" t="s">
        <v>159</v>
      </c>
      <c r="K164" s="71" t="s">
        <v>785</v>
      </c>
      <c r="L164" s="75">
        <v>1</v>
      </c>
      <c r="M164" s="76">
        <v>7835.6015625</v>
      </c>
      <c r="N164" s="76">
        <v>7140.09033203125</v>
      </c>
      <c r="O164" s="77"/>
      <c r="P164" s="78"/>
      <c r="Q164" s="78"/>
      <c r="R164" s="89"/>
      <c r="S164" s="49">
        <v>1</v>
      </c>
      <c r="T164" s="49">
        <v>1</v>
      </c>
      <c r="U164" s="50">
        <v>0</v>
      </c>
      <c r="V164" s="50">
        <v>0</v>
      </c>
      <c r="W164" s="50">
        <v>0</v>
      </c>
      <c r="X164" s="50">
        <v>0.005525</v>
      </c>
      <c r="Y164" s="50">
        <v>0</v>
      </c>
      <c r="Z164" s="50">
        <v>0</v>
      </c>
      <c r="AA164" s="73">
        <v>164</v>
      </c>
      <c r="AB164" s="73"/>
      <c r="AC164" s="74"/>
      <c r="AD164" s="81" t="s">
        <v>785</v>
      </c>
      <c r="AE164" s="81" t="s">
        <v>859</v>
      </c>
      <c r="AF164" s="81"/>
      <c r="AG164" s="81"/>
      <c r="AH164" s="81"/>
      <c r="AI164" s="81" t="s">
        <v>1036</v>
      </c>
      <c r="AJ164" s="85">
        <v>41506.265752314815</v>
      </c>
      <c r="AK164" s="83" t="str">
        <f>HYPERLINK("https://yt3.ggpht.com/ytc/AOPolaSZKvMajHRa8nN0iOcI1D0y0CAqjF9KavzohekAeA=s88-c-k-c0x00ffffff-no-rj")</f>
        <v>https://yt3.ggpht.com/ytc/AOPolaSZKvMajHRa8nN0iOcI1D0y0CAqjF9KavzohekAeA=s88-c-k-c0x00ffffff-no-rj</v>
      </c>
      <c r="AL164" s="81">
        <v>36174</v>
      </c>
      <c r="AM164" s="81">
        <v>0</v>
      </c>
      <c r="AN164" s="81">
        <v>211</v>
      </c>
      <c r="AO164" s="81" t="b">
        <v>0</v>
      </c>
      <c r="AP164" s="81">
        <v>143</v>
      </c>
      <c r="AQ164" s="81"/>
      <c r="AR164" s="81"/>
      <c r="AS164" s="81" t="s">
        <v>1057</v>
      </c>
      <c r="AT164" s="83" t="str">
        <f>HYPERLINK("https://www.youtube.com/channel/UCg0ZDNRBmKRAJ3PHyGMQo3g")</f>
        <v>https://www.youtube.com/channel/UCg0ZDNRBmKRAJ3PHyGMQo3g</v>
      </c>
      <c r="AU164" s="81">
        <v>2</v>
      </c>
      <c r="AV164" s="49"/>
      <c r="AW164" s="50"/>
      <c r="AX164" s="49"/>
      <c r="AY164" s="50"/>
      <c r="AZ164" s="49"/>
      <c r="BA164" s="50"/>
      <c r="BB164" s="49"/>
      <c r="BC164" s="50"/>
      <c r="BD164" s="49"/>
      <c r="BE164" s="49"/>
      <c r="BF164" s="49"/>
      <c r="BG164" s="49"/>
      <c r="BH164" s="49"/>
      <c r="BI164" s="49"/>
      <c r="BJ164" s="49"/>
      <c r="BK164" s="115" t="s">
        <v>1634</v>
      </c>
      <c r="BL164" s="115" t="s">
        <v>1634</v>
      </c>
      <c r="BM164" s="115" t="s">
        <v>1634</v>
      </c>
      <c r="BN164" s="115" t="s">
        <v>1634</v>
      </c>
      <c r="BO164" s="2"/>
      <c r="BP164" s="3"/>
      <c r="BQ164" s="3"/>
      <c r="BR164" s="3"/>
      <c r="BS164" s="3"/>
    </row>
    <row r="165" spans="1:71" ht="15">
      <c r="A165" s="66" t="s">
        <v>384</v>
      </c>
      <c r="B165" s="67"/>
      <c r="C165" s="67"/>
      <c r="D165" s="68">
        <v>150</v>
      </c>
      <c r="E165" s="70"/>
      <c r="F165" s="103" t="str">
        <f>HYPERLINK("https://yt3.ggpht.com/ytc/AOPolaT_Tl1CbD5g26jcSPMOkRqW1FjnkHrKiW_zQo4peQ=s88-c-k-c0x00ffffff-no-rj")</f>
        <v>https://yt3.ggpht.com/ytc/AOPolaT_Tl1CbD5g26jcSPMOkRqW1FjnkHrKiW_zQo4peQ=s88-c-k-c0x00ffffff-no-rj</v>
      </c>
      <c r="G165" s="67"/>
      <c r="H165" s="71" t="s">
        <v>786</v>
      </c>
      <c r="I165" s="72"/>
      <c r="J165" s="72" t="s">
        <v>159</v>
      </c>
      <c r="K165" s="71" t="s">
        <v>786</v>
      </c>
      <c r="L165" s="75">
        <v>1</v>
      </c>
      <c r="M165" s="76">
        <v>6072.2431640625</v>
      </c>
      <c r="N165" s="76">
        <v>7140.09033203125</v>
      </c>
      <c r="O165" s="77"/>
      <c r="P165" s="78"/>
      <c r="Q165" s="78"/>
      <c r="R165" s="89"/>
      <c r="S165" s="49">
        <v>1</v>
      </c>
      <c r="T165" s="49">
        <v>1</v>
      </c>
      <c r="U165" s="50">
        <v>0</v>
      </c>
      <c r="V165" s="50">
        <v>0</v>
      </c>
      <c r="W165" s="50">
        <v>0</v>
      </c>
      <c r="X165" s="50">
        <v>0.005525</v>
      </c>
      <c r="Y165" s="50">
        <v>0</v>
      </c>
      <c r="Z165" s="50">
        <v>0</v>
      </c>
      <c r="AA165" s="73">
        <v>165</v>
      </c>
      <c r="AB165" s="73"/>
      <c r="AC165" s="74"/>
      <c r="AD165" s="81" t="s">
        <v>786</v>
      </c>
      <c r="AE165" s="81" t="s">
        <v>860</v>
      </c>
      <c r="AF165" s="81"/>
      <c r="AG165" s="81"/>
      <c r="AH165" s="81"/>
      <c r="AI165" s="81" t="s">
        <v>1037</v>
      </c>
      <c r="AJ165" s="85">
        <v>42618.8109837963</v>
      </c>
      <c r="AK165" s="83" t="str">
        <f>HYPERLINK("https://yt3.ggpht.com/ytc/AOPolaT_Tl1CbD5g26jcSPMOkRqW1FjnkHrKiW_zQo4peQ=s88-c-k-c0x00ffffff-no-rj")</f>
        <v>https://yt3.ggpht.com/ytc/AOPolaT_Tl1CbD5g26jcSPMOkRqW1FjnkHrKiW_zQo4peQ=s88-c-k-c0x00ffffff-no-rj</v>
      </c>
      <c r="AL165" s="81">
        <v>103796</v>
      </c>
      <c r="AM165" s="81">
        <v>0</v>
      </c>
      <c r="AN165" s="81">
        <v>224</v>
      </c>
      <c r="AO165" s="81" t="b">
        <v>0</v>
      </c>
      <c r="AP165" s="81">
        <v>289</v>
      </c>
      <c r="AQ165" s="81"/>
      <c r="AR165" s="81"/>
      <c r="AS165" s="81" t="s">
        <v>1057</v>
      </c>
      <c r="AT165" s="83" t="str">
        <f>HYPERLINK("https://www.youtube.com/channel/UC5Bv_JKHGoCPWBluXuNdM_w")</f>
        <v>https://www.youtube.com/channel/UC5Bv_JKHGoCPWBluXuNdM_w</v>
      </c>
      <c r="AU165" s="81">
        <v>2</v>
      </c>
      <c r="AV165" s="49"/>
      <c r="AW165" s="50"/>
      <c r="AX165" s="49"/>
      <c r="AY165" s="50"/>
      <c r="AZ165" s="49"/>
      <c r="BA165" s="50"/>
      <c r="BB165" s="49"/>
      <c r="BC165" s="50"/>
      <c r="BD165" s="49"/>
      <c r="BE165" s="49"/>
      <c r="BF165" s="49"/>
      <c r="BG165" s="49"/>
      <c r="BH165" s="49"/>
      <c r="BI165" s="49"/>
      <c r="BJ165" s="49"/>
      <c r="BK165" s="115" t="s">
        <v>1634</v>
      </c>
      <c r="BL165" s="115" t="s">
        <v>1634</v>
      </c>
      <c r="BM165" s="115" t="s">
        <v>1634</v>
      </c>
      <c r="BN165" s="115" t="s">
        <v>1634</v>
      </c>
      <c r="BO165" s="2"/>
      <c r="BP165" s="3"/>
      <c r="BQ165" s="3"/>
      <c r="BR165" s="3"/>
      <c r="BS165" s="3"/>
    </row>
    <row r="166" spans="1:71" ht="15">
      <c r="A166" s="66" t="s">
        <v>385</v>
      </c>
      <c r="B166" s="67"/>
      <c r="C166" s="67"/>
      <c r="D166" s="68">
        <v>150</v>
      </c>
      <c r="E166" s="70"/>
      <c r="F166" s="103" t="str">
        <f>HYPERLINK("https://yt3.ggpht.com/ytc/AOPolaSWXxGSC4eqYnUnqA5org6shaVGeFYdjXduInIf=s88-c-k-c0x00ffffff-no-rj")</f>
        <v>https://yt3.ggpht.com/ytc/AOPolaSWXxGSC4eqYnUnqA5org6shaVGeFYdjXduInIf=s88-c-k-c0x00ffffff-no-rj</v>
      </c>
      <c r="G166" s="67"/>
      <c r="H166" s="71" t="s">
        <v>787</v>
      </c>
      <c r="I166" s="72"/>
      <c r="J166" s="72" t="s">
        <v>159</v>
      </c>
      <c r="K166" s="71" t="s">
        <v>787</v>
      </c>
      <c r="L166" s="75">
        <v>1</v>
      </c>
      <c r="M166" s="76">
        <v>9011.173828125</v>
      </c>
      <c r="N166" s="76">
        <v>7915.875</v>
      </c>
      <c r="O166" s="77"/>
      <c r="P166" s="78"/>
      <c r="Q166" s="78"/>
      <c r="R166" s="89"/>
      <c r="S166" s="49">
        <v>1</v>
      </c>
      <c r="T166" s="49">
        <v>1</v>
      </c>
      <c r="U166" s="50">
        <v>0</v>
      </c>
      <c r="V166" s="50">
        <v>0</v>
      </c>
      <c r="W166" s="50">
        <v>0</v>
      </c>
      <c r="X166" s="50">
        <v>0.005525</v>
      </c>
      <c r="Y166" s="50">
        <v>0</v>
      </c>
      <c r="Z166" s="50">
        <v>0</v>
      </c>
      <c r="AA166" s="73">
        <v>166</v>
      </c>
      <c r="AB166" s="73"/>
      <c r="AC166" s="74"/>
      <c r="AD166" s="81" t="s">
        <v>787</v>
      </c>
      <c r="AE166" s="81"/>
      <c r="AF166" s="81"/>
      <c r="AG166" s="81"/>
      <c r="AH166" s="81"/>
      <c r="AI166" s="81" t="s">
        <v>1038</v>
      </c>
      <c r="AJ166" s="85">
        <v>40283.11207175926</v>
      </c>
      <c r="AK166" s="83" t="str">
        <f>HYPERLINK("https://yt3.ggpht.com/ytc/AOPolaSWXxGSC4eqYnUnqA5org6shaVGeFYdjXduInIf=s88-c-k-c0x00ffffff-no-rj")</f>
        <v>https://yt3.ggpht.com/ytc/AOPolaSWXxGSC4eqYnUnqA5org6shaVGeFYdjXduInIf=s88-c-k-c0x00ffffff-no-rj</v>
      </c>
      <c r="AL166" s="81">
        <v>4046</v>
      </c>
      <c r="AM166" s="81">
        <v>0</v>
      </c>
      <c r="AN166" s="81">
        <v>37</v>
      </c>
      <c r="AO166" s="81" t="b">
        <v>0</v>
      </c>
      <c r="AP166" s="81">
        <v>6</v>
      </c>
      <c r="AQ166" s="81"/>
      <c r="AR166" s="81"/>
      <c r="AS166" s="81" t="s">
        <v>1057</v>
      </c>
      <c r="AT166" s="83" t="str">
        <f>HYPERLINK("https://www.youtube.com/channel/UCALLAENkKwaoG6-ZcHLv73w")</f>
        <v>https://www.youtube.com/channel/UCALLAENkKwaoG6-ZcHLv73w</v>
      </c>
      <c r="AU166" s="81">
        <v>2</v>
      </c>
      <c r="AV166" s="49"/>
      <c r="AW166" s="50"/>
      <c r="AX166" s="49"/>
      <c r="AY166" s="50"/>
      <c r="AZ166" s="49"/>
      <c r="BA166" s="50"/>
      <c r="BB166" s="49"/>
      <c r="BC166" s="50"/>
      <c r="BD166" s="49"/>
      <c r="BE166" s="49"/>
      <c r="BF166" s="49"/>
      <c r="BG166" s="49"/>
      <c r="BH166" s="49"/>
      <c r="BI166" s="49"/>
      <c r="BJ166" s="49"/>
      <c r="BK166" s="115" t="s">
        <v>1634</v>
      </c>
      <c r="BL166" s="115" t="s">
        <v>1634</v>
      </c>
      <c r="BM166" s="115" t="s">
        <v>1634</v>
      </c>
      <c r="BN166" s="115" t="s">
        <v>1634</v>
      </c>
      <c r="BO166" s="2"/>
      <c r="BP166" s="3"/>
      <c r="BQ166" s="3"/>
      <c r="BR166" s="3"/>
      <c r="BS166" s="3"/>
    </row>
    <row r="167" spans="1:71" ht="15">
      <c r="A167" s="66" t="s">
        <v>386</v>
      </c>
      <c r="B167" s="67"/>
      <c r="C167" s="67"/>
      <c r="D167" s="68">
        <v>150</v>
      </c>
      <c r="E167" s="70"/>
      <c r="F167" s="103" t="str">
        <f>HYPERLINK("https://yt3.ggpht.com/ytc/AOPolaTOuOl1vP-7tm_0UBiZpOCPIhVaGhRk91-dcA=s88-c-k-c0x00ffffff-no-rj")</f>
        <v>https://yt3.ggpht.com/ytc/AOPolaTOuOl1vP-7tm_0UBiZpOCPIhVaGhRk91-dcA=s88-c-k-c0x00ffffff-no-rj</v>
      </c>
      <c r="G167" s="67"/>
      <c r="H167" s="71" t="s">
        <v>788</v>
      </c>
      <c r="I167" s="72"/>
      <c r="J167" s="72" t="s">
        <v>159</v>
      </c>
      <c r="K167" s="71" t="s">
        <v>788</v>
      </c>
      <c r="L167" s="75">
        <v>1</v>
      </c>
      <c r="M167" s="76">
        <v>9598.9599609375</v>
      </c>
      <c r="N167" s="76">
        <v>7915.875</v>
      </c>
      <c r="O167" s="77"/>
      <c r="P167" s="78"/>
      <c r="Q167" s="78"/>
      <c r="R167" s="89"/>
      <c r="S167" s="49">
        <v>1</v>
      </c>
      <c r="T167" s="49">
        <v>1</v>
      </c>
      <c r="U167" s="50">
        <v>0</v>
      </c>
      <c r="V167" s="50">
        <v>0</v>
      </c>
      <c r="W167" s="50">
        <v>0</v>
      </c>
      <c r="X167" s="50">
        <v>0.005525</v>
      </c>
      <c r="Y167" s="50">
        <v>0</v>
      </c>
      <c r="Z167" s="50">
        <v>0</v>
      </c>
      <c r="AA167" s="73">
        <v>167</v>
      </c>
      <c r="AB167" s="73"/>
      <c r="AC167" s="74"/>
      <c r="AD167" s="81" t="s">
        <v>788</v>
      </c>
      <c r="AE167" s="81" t="s">
        <v>861</v>
      </c>
      <c r="AF167" s="81"/>
      <c r="AG167" s="81"/>
      <c r="AH167" s="81"/>
      <c r="AI167" s="81" t="s">
        <v>1039</v>
      </c>
      <c r="AJ167" s="85">
        <v>41710.95135416667</v>
      </c>
      <c r="AK167" s="83" t="str">
        <f>HYPERLINK("https://yt3.ggpht.com/ytc/AOPolaTOuOl1vP-7tm_0UBiZpOCPIhVaGhRk91-dcA=s88-c-k-c0x00ffffff-no-rj")</f>
        <v>https://yt3.ggpht.com/ytc/AOPolaTOuOl1vP-7tm_0UBiZpOCPIhVaGhRk91-dcA=s88-c-k-c0x00ffffff-no-rj</v>
      </c>
      <c r="AL167" s="81">
        <v>200</v>
      </c>
      <c r="AM167" s="81">
        <v>0</v>
      </c>
      <c r="AN167" s="81">
        <v>1</v>
      </c>
      <c r="AO167" s="81" t="b">
        <v>0</v>
      </c>
      <c r="AP167" s="81">
        <v>2</v>
      </c>
      <c r="AQ167" s="81"/>
      <c r="AR167" s="81"/>
      <c r="AS167" s="81" t="s">
        <v>1057</v>
      </c>
      <c r="AT167" s="83" t="str">
        <f>HYPERLINK("https://www.youtube.com/channel/UC5bG0_VCeOhJLGp_jGZJLbQ")</f>
        <v>https://www.youtube.com/channel/UC5bG0_VCeOhJLGp_jGZJLbQ</v>
      </c>
      <c r="AU167" s="81">
        <v>2</v>
      </c>
      <c r="AV167" s="49"/>
      <c r="AW167" s="50"/>
      <c r="AX167" s="49"/>
      <c r="AY167" s="50"/>
      <c r="AZ167" s="49"/>
      <c r="BA167" s="50"/>
      <c r="BB167" s="49"/>
      <c r="BC167" s="50"/>
      <c r="BD167" s="49"/>
      <c r="BE167" s="49"/>
      <c r="BF167" s="49"/>
      <c r="BG167" s="49"/>
      <c r="BH167" s="49"/>
      <c r="BI167" s="49"/>
      <c r="BJ167" s="49"/>
      <c r="BK167" s="115" t="s">
        <v>1634</v>
      </c>
      <c r="BL167" s="115" t="s">
        <v>1634</v>
      </c>
      <c r="BM167" s="115" t="s">
        <v>1634</v>
      </c>
      <c r="BN167" s="115" t="s">
        <v>1634</v>
      </c>
      <c r="BO167" s="2"/>
      <c r="BP167" s="3"/>
      <c r="BQ167" s="3"/>
      <c r="BR167" s="3"/>
      <c r="BS167" s="3"/>
    </row>
    <row r="168" spans="1:71" ht="15">
      <c r="A168" s="66" t="s">
        <v>387</v>
      </c>
      <c r="B168" s="67"/>
      <c r="C168" s="67"/>
      <c r="D168" s="68">
        <v>150</v>
      </c>
      <c r="E168" s="70"/>
      <c r="F168" s="103" t="str">
        <f>HYPERLINK("https://yt3.ggpht.com/ytc/AOPolaT9xedjdJd4JRxhQJ2MZJoviO7I9qJbWvlfewQq=s88-c-k-c0x00ffffff-no-rj")</f>
        <v>https://yt3.ggpht.com/ytc/AOPolaT9xedjdJd4JRxhQJ2MZJoviO7I9qJbWvlfewQq=s88-c-k-c0x00ffffff-no-rj</v>
      </c>
      <c r="G168" s="67"/>
      <c r="H168" s="71" t="s">
        <v>789</v>
      </c>
      <c r="I168" s="72"/>
      <c r="J168" s="72" t="s">
        <v>159</v>
      </c>
      <c r="K168" s="71" t="s">
        <v>789</v>
      </c>
      <c r="L168" s="75">
        <v>1</v>
      </c>
      <c r="M168" s="76">
        <v>5484.45703125</v>
      </c>
      <c r="N168" s="76">
        <v>7140.09033203125</v>
      </c>
      <c r="O168" s="77"/>
      <c r="P168" s="78"/>
      <c r="Q168" s="78"/>
      <c r="R168" s="89"/>
      <c r="S168" s="49">
        <v>1</v>
      </c>
      <c r="T168" s="49">
        <v>1</v>
      </c>
      <c r="U168" s="50">
        <v>0</v>
      </c>
      <c r="V168" s="50">
        <v>0</v>
      </c>
      <c r="W168" s="50">
        <v>0</v>
      </c>
      <c r="X168" s="50">
        <v>0.005525</v>
      </c>
      <c r="Y168" s="50">
        <v>0</v>
      </c>
      <c r="Z168" s="50">
        <v>0</v>
      </c>
      <c r="AA168" s="73">
        <v>168</v>
      </c>
      <c r="AB168" s="73"/>
      <c r="AC168" s="74"/>
      <c r="AD168" s="81" t="s">
        <v>789</v>
      </c>
      <c r="AE168" s="81" t="s">
        <v>862</v>
      </c>
      <c r="AF168" s="81"/>
      <c r="AG168" s="81"/>
      <c r="AH168" s="81"/>
      <c r="AI168" s="81" t="s">
        <v>1040</v>
      </c>
      <c r="AJ168" s="85">
        <v>39730.55706018519</v>
      </c>
      <c r="AK168" s="83" t="str">
        <f>HYPERLINK("https://yt3.ggpht.com/ytc/AOPolaT9xedjdJd4JRxhQJ2MZJoviO7I9qJbWvlfewQq=s88-c-k-c0x00ffffff-no-rj")</f>
        <v>https://yt3.ggpht.com/ytc/AOPolaT9xedjdJd4JRxhQJ2MZJoviO7I9qJbWvlfewQq=s88-c-k-c0x00ffffff-no-rj</v>
      </c>
      <c r="AL168" s="81">
        <v>4377891</v>
      </c>
      <c r="AM168" s="81">
        <v>0</v>
      </c>
      <c r="AN168" s="81">
        <v>23600</v>
      </c>
      <c r="AO168" s="81" t="b">
        <v>0</v>
      </c>
      <c r="AP168" s="81">
        <v>893</v>
      </c>
      <c r="AQ168" s="81"/>
      <c r="AR168" s="81"/>
      <c r="AS168" s="81" t="s">
        <v>1057</v>
      </c>
      <c r="AT168" s="83" t="str">
        <f>HYPERLINK("https://www.youtube.com/channel/UC_3Lza_tjzG7gWz5_xCMYCw")</f>
        <v>https://www.youtube.com/channel/UC_3Lza_tjzG7gWz5_xCMYCw</v>
      </c>
      <c r="AU168" s="81">
        <v>2</v>
      </c>
      <c r="AV168" s="49"/>
      <c r="AW168" s="50"/>
      <c r="AX168" s="49"/>
      <c r="AY168" s="50"/>
      <c r="AZ168" s="49"/>
      <c r="BA168" s="50"/>
      <c r="BB168" s="49"/>
      <c r="BC168" s="50"/>
      <c r="BD168" s="49"/>
      <c r="BE168" s="49"/>
      <c r="BF168" s="49"/>
      <c r="BG168" s="49"/>
      <c r="BH168" s="49"/>
      <c r="BI168" s="49"/>
      <c r="BJ168" s="49"/>
      <c r="BK168" s="115" t="s">
        <v>1634</v>
      </c>
      <c r="BL168" s="115" t="s">
        <v>1634</v>
      </c>
      <c r="BM168" s="115" t="s">
        <v>1634</v>
      </c>
      <c r="BN168" s="115" t="s">
        <v>1634</v>
      </c>
      <c r="BO168" s="2"/>
      <c r="BP168" s="3"/>
      <c r="BQ168" s="3"/>
      <c r="BR168" s="3"/>
      <c r="BS168" s="3"/>
    </row>
    <row r="169" spans="1:71" ht="15">
      <c r="A169" s="66" t="s">
        <v>388</v>
      </c>
      <c r="B169" s="67"/>
      <c r="C169" s="67"/>
      <c r="D169" s="68">
        <v>150</v>
      </c>
      <c r="E169" s="70"/>
      <c r="F169" s="103" t="str">
        <f>HYPERLINK("https://yt3.ggpht.com/ytc/AOPolaTgB5OiKfnIjXLuio_fYGHvXccKimpgeYVwNppU=s88-c-k-c0x00ffffff-no-rj")</f>
        <v>https://yt3.ggpht.com/ytc/AOPolaTgB5OiKfnIjXLuio_fYGHvXccKimpgeYVwNppU=s88-c-k-c0x00ffffff-no-rj</v>
      </c>
      <c r="G169" s="67"/>
      <c r="H169" s="71" t="s">
        <v>790</v>
      </c>
      <c r="I169" s="72"/>
      <c r="J169" s="72" t="s">
        <v>159</v>
      </c>
      <c r="K169" s="71" t="s">
        <v>790</v>
      </c>
      <c r="L169" s="75">
        <v>1</v>
      </c>
      <c r="M169" s="76">
        <v>9011.173828125</v>
      </c>
      <c r="N169" s="76">
        <v>8691.6591796875</v>
      </c>
      <c r="O169" s="77"/>
      <c r="P169" s="78"/>
      <c r="Q169" s="78"/>
      <c r="R169" s="89"/>
      <c r="S169" s="49">
        <v>1</v>
      </c>
      <c r="T169" s="49">
        <v>1</v>
      </c>
      <c r="U169" s="50">
        <v>0</v>
      </c>
      <c r="V169" s="50">
        <v>0</v>
      </c>
      <c r="W169" s="50">
        <v>0</v>
      </c>
      <c r="X169" s="50">
        <v>0.005525</v>
      </c>
      <c r="Y169" s="50">
        <v>0</v>
      </c>
      <c r="Z169" s="50">
        <v>0</v>
      </c>
      <c r="AA169" s="73">
        <v>169</v>
      </c>
      <c r="AB169" s="73"/>
      <c r="AC169" s="74"/>
      <c r="AD169" s="81" t="s">
        <v>790</v>
      </c>
      <c r="AE169" s="81"/>
      <c r="AF169" s="81"/>
      <c r="AG169" s="81"/>
      <c r="AH169" s="81"/>
      <c r="AI169" s="81" t="s">
        <v>1041</v>
      </c>
      <c r="AJ169" s="85">
        <v>43113.02449074074</v>
      </c>
      <c r="AK169" s="83" t="str">
        <f>HYPERLINK("https://yt3.ggpht.com/ytc/AOPolaTgB5OiKfnIjXLuio_fYGHvXccKimpgeYVwNppU=s88-c-k-c0x00ffffff-no-rj")</f>
        <v>https://yt3.ggpht.com/ytc/AOPolaTgB5OiKfnIjXLuio_fYGHvXccKimpgeYVwNppU=s88-c-k-c0x00ffffff-no-rj</v>
      </c>
      <c r="AL169" s="81">
        <v>29761</v>
      </c>
      <c r="AM169" s="81">
        <v>0</v>
      </c>
      <c r="AN169" s="81">
        <v>56</v>
      </c>
      <c r="AO169" s="81" t="b">
        <v>0</v>
      </c>
      <c r="AP169" s="81">
        <v>532</v>
      </c>
      <c r="AQ169" s="81"/>
      <c r="AR169" s="81"/>
      <c r="AS169" s="81" t="s">
        <v>1057</v>
      </c>
      <c r="AT169" s="83" t="str">
        <f>HYPERLINK("https://www.youtube.com/channel/UCQ89NlPmz86wtPUg69Mdcuw")</f>
        <v>https://www.youtube.com/channel/UCQ89NlPmz86wtPUg69Mdcuw</v>
      </c>
      <c r="AU169" s="81">
        <v>2</v>
      </c>
      <c r="AV169" s="49"/>
      <c r="AW169" s="50"/>
      <c r="AX169" s="49"/>
      <c r="AY169" s="50"/>
      <c r="AZ169" s="49"/>
      <c r="BA169" s="50"/>
      <c r="BB169" s="49"/>
      <c r="BC169" s="50"/>
      <c r="BD169" s="49"/>
      <c r="BE169" s="49"/>
      <c r="BF169" s="49"/>
      <c r="BG169" s="49"/>
      <c r="BH169" s="49"/>
      <c r="BI169" s="49"/>
      <c r="BJ169" s="49"/>
      <c r="BK169" s="115" t="s">
        <v>1634</v>
      </c>
      <c r="BL169" s="115" t="s">
        <v>1634</v>
      </c>
      <c r="BM169" s="115" t="s">
        <v>1634</v>
      </c>
      <c r="BN169" s="115" t="s">
        <v>1634</v>
      </c>
      <c r="BO169" s="2"/>
      <c r="BP169" s="3"/>
      <c r="BQ169" s="3"/>
      <c r="BR169" s="3"/>
      <c r="BS169" s="3"/>
    </row>
    <row r="170" spans="1:71" ht="15">
      <c r="A170" s="66" t="s">
        <v>389</v>
      </c>
      <c r="B170" s="67"/>
      <c r="C170" s="67"/>
      <c r="D170" s="68">
        <v>150</v>
      </c>
      <c r="E170" s="70"/>
      <c r="F170" s="103" t="str">
        <f>HYPERLINK("https://yt3.ggpht.com/ytc/AOPolaSMpGn2i0-BVLAO44iahggmq2W6bHMfKItKRhQm=s88-c-k-c0x00ffffff-no-rj")</f>
        <v>https://yt3.ggpht.com/ytc/AOPolaSMpGn2i0-BVLAO44iahggmq2W6bHMfKItKRhQm=s88-c-k-c0x00ffffff-no-rj</v>
      </c>
      <c r="G170" s="67"/>
      <c r="H170" s="71" t="s">
        <v>791</v>
      </c>
      <c r="I170" s="72"/>
      <c r="J170" s="72" t="s">
        <v>159</v>
      </c>
      <c r="K170" s="71" t="s">
        <v>791</v>
      </c>
      <c r="L170" s="75">
        <v>1</v>
      </c>
      <c r="M170" s="76">
        <v>7835.6015625</v>
      </c>
      <c r="N170" s="76">
        <v>9467.4443359375</v>
      </c>
      <c r="O170" s="77"/>
      <c r="P170" s="78"/>
      <c r="Q170" s="78"/>
      <c r="R170" s="89"/>
      <c r="S170" s="49">
        <v>1</v>
      </c>
      <c r="T170" s="49">
        <v>1</v>
      </c>
      <c r="U170" s="50">
        <v>0</v>
      </c>
      <c r="V170" s="50">
        <v>0</v>
      </c>
      <c r="W170" s="50">
        <v>0</v>
      </c>
      <c r="X170" s="50">
        <v>0.005525</v>
      </c>
      <c r="Y170" s="50">
        <v>0</v>
      </c>
      <c r="Z170" s="50">
        <v>0</v>
      </c>
      <c r="AA170" s="73">
        <v>170</v>
      </c>
      <c r="AB170" s="73"/>
      <c r="AC170" s="74"/>
      <c r="AD170" s="81" t="s">
        <v>791</v>
      </c>
      <c r="AE170" s="81"/>
      <c r="AF170" s="81"/>
      <c r="AG170" s="81"/>
      <c r="AH170" s="81"/>
      <c r="AI170" s="81" t="s">
        <v>1042</v>
      </c>
      <c r="AJ170" s="85">
        <v>41829.8034375</v>
      </c>
      <c r="AK170" s="83" t="str">
        <f>HYPERLINK("https://yt3.ggpht.com/ytc/AOPolaSMpGn2i0-BVLAO44iahggmq2W6bHMfKItKRhQm=s88-c-k-c0x00ffffff-no-rj")</f>
        <v>https://yt3.ggpht.com/ytc/AOPolaSMpGn2i0-BVLAO44iahggmq2W6bHMfKItKRhQm=s88-c-k-c0x00ffffff-no-rj</v>
      </c>
      <c r="AL170" s="81">
        <v>162978</v>
      </c>
      <c r="AM170" s="81">
        <v>0</v>
      </c>
      <c r="AN170" s="81">
        <v>4790</v>
      </c>
      <c r="AO170" s="81" t="b">
        <v>0</v>
      </c>
      <c r="AP170" s="81">
        <v>207</v>
      </c>
      <c r="AQ170" s="81"/>
      <c r="AR170" s="81"/>
      <c r="AS170" s="81" t="s">
        <v>1057</v>
      </c>
      <c r="AT170" s="83" t="str">
        <f>HYPERLINK("https://www.youtube.com/channel/UCTSbplgzZUG4bnnLbAYyj0g")</f>
        <v>https://www.youtube.com/channel/UCTSbplgzZUG4bnnLbAYyj0g</v>
      </c>
      <c r="AU170" s="81">
        <v>2</v>
      </c>
      <c r="AV170" s="49"/>
      <c r="AW170" s="50"/>
      <c r="AX170" s="49"/>
      <c r="AY170" s="50"/>
      <c r="AZ170" s="49"/>
      <c r="BA170" s="50"/>
      <c r="BB170" s="49"/>
      <c r="BC170" s="50"/>
      <c r="BD170" s="49"/>
      <c r="BE170" s="49"/>
      <c r="BF170" s="49"/>
      <c r="BG170" s="49"/>
      <c r="BH170" s="49"/>
      <c r="BI170" s="49"/>
      <c r="BJ170" s="49"/>
      <c r="BK170" s="115" t="s">
        <v>1634</v>
      </c>
      <c r="BL170" s="115" t="s">
        <v>1634</v>
      </c>
      <c r="BM170" s="115" t="s">
        <v>1634</v>
      </c>
      <c r="BN170" s="115" t="s">
        <v>1634</v>
      </c>
      <c r="BO170" s="2"/>
      <c r="BP170" s="3"/>
      <c r="BQ170" s="3"/>
      <c r="BR170" s="3"/>
      <c r="BS170" s="3"/>
    </row>
    <row r="171" spans="1:71" ht="15">
      <c r="A171" s="66" t="s">
        <v>390</v>
      </c>
      <c r="B171" s="67"/>
      <c r="C171" s="67"/>
      <c r="D171" s="68">
        <v>150</v>
      </c>
      <c r="E171" s="70"/>
      <c r="F171" s="103" t="str">
        <f>HYPERLINK("https://yt3.ggpht.com/ytc/AOPolaRbE3Moql7AKrNINzxaXAeduoAJmIZXYTmxlnNr-A=s88-c-k-c0x00ffffff-no-rj")</f>
        <v>https://yt3.ggpht.com/ytc/AOPolaRbE3Moql7AKrNINzxaXAeduoAJmIZXYTmxlnNr-A=s88-c-k-c0x00ffffff-no-rj</v>
      </c>
      <c r="G171" s="67"/>
      <c r="H171" s="71" t="s">
        <v>792</v>
      </c>
      <c r="I171" s="72"/>
      <c r="J171" s="72" t="s">
        <v>159</v>
      </c>
      <c r="K171" s="71" t="s">
        <v>792</v>
      </c>
      <c r="L171" s="75">
        <v>1</v>
      </c>
      <c r="M171" s="76">
        <v>8423.3876953125</v>
      </c>
      <c r="N171" s="76">
        <v>9467.4443359375</v>
      </c>
      <c r="O171" s="77"/>
      <c r="P171" s="78"/>
      <c r="Q171" s="78"/>
      <c r="R171" s="89"/>
      <c r="S171" s="49">
        <v>1</v>
      </c>
      <c r="T171" s="49">
        <v>1</v>
      </c>
      <c r="U171" s="50">
        <v>0</v>
      </c>
      <c r="V171" s="50">
        <v>0</v>
      </c>
      <c r="W171" s="50">
        <v>0</v>
      </c>
      <c r="X171" s="50">
        <v>0.005525</v>
      </c>
      <c r="Y171" s="50">
        <v>0</v>
      </c>
      <c r="Z171" s="50">
        <v>0</v>
      </c>
      <c r="AA171" s="73">
        <v>171</v>
      </c>
      <c r="AB171" s="73"/>
      <c r="AC171" s="74"/>
      <c r="AD171" s="81" t="s">
        <v>792</v>
      </c>
      <c r="AE171" s="81" t="s">
        <v>863</v>
      </c>
      <c r="AF171" s="81"/>
      <c r="AG171" s="81"/>
      <c r="AH171" s="81"/>
      <c r="AI171" s="81" t="s">
        <v>1043</v>
      </c>
      <c r="AJ171" s="85">
        <v>41596.09972222222</v>
      </c>
      <c r="AK171" s="83" t="str">
        <f>HYPERLINK("https://yt3.ggpht.com/ytc/AOPolaRbE3Moql7AKrNINzxaXAeduoAJmIZXYTmxlnNr-A=s88-c-k-c0x00ffffff-no-rj")</f>
        <v>https://yt3.ggpht.com/ytc/AOPolaRbE3Moql7AKrNINzxaXAeduoAJmIZXYTmxlnNr-A=s88-c-k-c0x00ffffff-no-rj</v>
      </c>
      <c r="AL171" s="81">
        <v>3693499</v>
      </c>
      <c r="AM171" s="81">
        <v>0</v>
      </c>
      <c r="AN171" s="81">
        <v>36000</v>
      </c>
      <c r="AO171" s="81" t="b">
        <v>0</v>
      </c>
      <c r="AP171" s="81">
        <v>2183</v>
      </c>
      <c r="AQ171" s="81"/>
      <c r="AR171" s="81"/>
      <c r="AS171" s="81" t="s">
        <v>1057</v>
      </c>
      <c r="AT171" s="83" t="str">
        <f>HYPERLINK("https://www.youtube.com/channel/UCvLPRhhEHLSFE8Gc15mGLZg")</f>
        <v>https://www.youtube.com/channel/UCvLPRhhEHLSFE8Gc15mGLZg</v>
      </c>
      <c r="AU171" s="81">
        <v>2</v>
      </c>
      <c r="AV171" s="49"/>
      <c r="AW171" s="50"/>
      <c r="AX171" s="49"/>
      <c r="AY171" s="50"/>
      <c r="AZ171" s="49"/>
      <c r="BA171" s="50"/>
      <c r="BB171" s="49"/>
      <c r="BC171" s="50"/>
      <c r="BD171" s="49"/>
      <c r="BE171" s="49"/>
      <c r="BF171" s="49"/>
      <c r="BG171" s="49"/>
      <c r="BH171" s="49"/>
      <c r="BI171" s="49"/>
      <c r="BJ171" s="49"/>
      <c r="BK171" s="115" t="s">
        <v>1634</v>
      </c>
      <c r="BL171" s="115" t="s">
        <v>1634</v>
      </c>
      <c r="BM171" s="115" t="s">
        <v>1634</v>
      </c>
      <c r="BN171" s="115" t="s">
        <v>1634</v>
      </c>
      <c r="BO171" s="2"/>
      <c r="BP171" s="3"/>
      <c r="BQ171" s="3"/>
      <c r="BR171" s="3"/>
      <c r="BS171" s="3"/>
    </row>
    <row r="172" spans="1:71" ht="15">
      <c r="A172" s="66" t="s">
        <v>391</v>
      </c>
      <c r="B172" s="67"/>
      <c r="C172" s="67"/>
      <c r="D172" s="68">
        <v>150</v>
      </c>
      <c r="E172" s="70"/>
      <c r="F172" s="103" t="str">
        <f>HYPERLINK("https://yt3.ggpht.com/ytc/AOPolaRcGnx5yNwdoDbhlPkWZ0AVdffUQ6WmLxK8tFpGQw=s88-c-k-c0x00ffffff-no-rj")</f>
        <v>https://yt3.ggpht.com/ytc/AOPolaRcGnx5yNwdoDbhlPkWZ0AVdffUQ6WmLxK8tFpGQw=s88-c-k-c0x00ffffff-no-rj</v>
      </c>
      <c r="G172" s="67"/>
      <c r="H172" s="71" t="s">
        <v>793</v>
      </c>
      <c r="I172" s="72"/>
      <c r="J172" s="72" t="s">
        <v>159</v>
      </c>
      <c r="K172" s="71" t="s">
        <v>793</v>
      </c>
      <c r="L172" s="75">
        <v>1</v>
      </c>
      <c r="M172" s="76">
        <v>9011.173828125</v>
      </c>
      <c r="N172" s="76">
        <v>9467.4443359375</v>
      </c>
      <c r="O172" s="77"/>
      <c r="P172" s="78"/>
      <c r="Q172" s="78"/>
      <c r="R172" s="89"/>
      <c r="S172" s="49">
        <v>1</v>
      </c>
      <c r="T172" s="49">
        <v>1</v>
      </c>
      <c r="U172" s="50">
        <v>0</v>
      </c>
      <c r="V172" s="50">
        <v>0</v>
      </c>
      <c r="W172" s="50">
        <v>0</v>
      </c>
      <c r="X172" s="50">
        <v>0.005525</v>
      </c>
      <c r="Y172" s="50">
        <v>0</v>
      </c>
      <c r="Z172" s="50">
        <v>0</v>
      </c>
      <c r="AA172" s="73">
        <v>172</v>
      </c>
      <c r="AB172" s="73"/>
      <c r="AC172" s="74"/>
      <c r="AD172" s="81" t="s">
        <v>793</v>
      </c>
      <c r="AE172" s="81" t="s">
        <v>864</v>
      </c>
      <c r="AF172" s="81"/>
      <c r="AG172" s="81"/>
      <c r="AH172" s="81"/>
      <c r="AI172" s="81" t="s">
        <v>1044</v>
      </c>
      <c r="AJ172" s="85">
        <v>40008.8950462963</v>
      </c>
      <c r="AK172" s="83" t="str">
        <f>HYPERLINK("https://yt3.ggpht.com/ytc/AOPolaRcGnx5yNwdoDbhlPkWZ0AVdffUQ6WmLxK8tFpGQw=s88-c-k-c0x00ffffff-no-rj")</f>
        <v>https://yt3.ggpht.com/ytc/AOPolaRcGnx5yNwdoDbhlPkWZ0AVdffUQ6WmLxK8tFpGQw=s88-c-k-c0x00ffffff-no-rj</v>
      </c>
      <c r="AL172" s="81">
        <v>40373101</v>
      </c>
      <c r="AM172" s="81">
        <v>0</v>
      </c>
      <c r="AN172" s="81">
        <v>182000</v>
      </c>
      <c r="AO172" s="81" t="b">
        <v>0</v>
      </c>
      <c r="AP172" s="81">
        <v>38508</v>
      </c>
      <c r="AQ172" s="81"/>
      <c r="AR172" s="81"/>
      <c r="AS172" s="81" t="s">
        <v>1057</v>
      </c>
      <c r="AT172" s="83" t="str">
        <f>HYPERLINK("https://www.youtube.com/channel/UCsba91UGiQLFOb5DN3Z_AdQ")</f>
        <v>https://www.youtube.com/channel/UCsba91UGiQLFOb5DN3Z_AdQ</v>
      </c>
      <c r="AU172" s="81">
        <v>2</v>
      </c>
      <c r="AV172" s="49"/>
      <c r="AW172" s="50"/>
      <c r="AX172" s="49"/>
      <c r="AY172" s="50"/>
      <c r="AZ172" s="49"/>
      <c r="BA172" s="50"/>
      <c r="BB172" s="49"/>
      <c r="BC172" s="50"/>
      <c r="BD172" s="49"/>
      <c r="BE172" s="49"/>
      <c r="BF172" s="49"/>
      <c r="BG172" s="49"/>
      <c r="BH172" s="49"/>
      <c r="BI172" s="49"/>
      <c r="BJ172" s="49"/>
      <c r="BK172" s="115" t="s">
        <v>1634</v>
      </c>
      <c r="BL172" s="115" t="s">
        <v>1634</v>
      </c>
      <c r="BM172" s="115" t="s">
        <v>1634</v>
      </c>
      <c r="BN172" s="115" t="s">
        <v>1634</v>
      </c>
      <c r="BO172" s="2"/>
      <c r="BP172" s="3"/>
      <c r="BQ172" s="3"/>
      <c r="BR172" s="3"/>
      <c r="BS172" s="3"/>
    </row>
    <row r="173" spans="1:71" ht="15">
      <c r="A173" s="66" t="s">
        <v>392</v>
      </c>
      <c r="B173" s="67"/>
      <c r="C173" s="67"/>
      <c r="D173" s="68">
        <v>150</v>
      </c>
      <c r="E173" s="70"/>
      <c r="F173" s="103" t="str">
        <f>HYPERLINK("https://yt3.ggpht.com/01F7Na6lc9AuqCNhS7vjoRXfYFeGPXykpW3Fg-kFVGgz5FTiF2fZvI0slCr_euG3PSfoRV1aPIs=s88-c-k-c0x00ffffff-no-rj")</f>
        <v>https://yt3.ggpht.com/01F7Na6lc9AuqCNhS7vjoRXfYFeGPXykpW3Fg-kFVGgz5FTiF2fZvI0slCr_euG3PSfoRV1aPIs=s88-c-k-c0x00ffffff-no-rj</v>
      </c>
      <c r="G173" s="67"/>
      <c r="H173" s="71" t="s">
        <v>794</v>
      </c>
      <c r="I173" s="72"/>
      <c r="J173" s="72" t="s">
        <v>159</v>
      </c>
      <c r="K173" s="71" t="s">
        <v>794</v>
      </c>
      <c r="L173" s="75">
        <v>1</v>
      </c>
      <c r="M173" s="76">
        <v>7247.8154296875</v>
      </c>
      <c r="N173" s="76">
        <v>9467.4443359375</v>
      </c>
      <c r="O173" s="77"/>
      <c r="P173" s="78"/>
      <c r="Q173" s="78"/>
      <c r="R173" s="89"/>
      <c r="S173" s="49">
        <v>1</v>
      </c>
      <c r="T173" s="49">
        <v>1</v>
      </c>
      <c r="U173" s="50">
        <v>0</v>
      </c>
      <c r="V173" s="50">
        <v>0</v>
      </c>
      <c r="W173" s="50">
        <v>0</v>
      </c>
      <c r="X173" s="50">
        <v>0.005525</v>
      </c>
      <c r="Y173" s="50">
        <v>0</v>
      </c>
      <c r="Z173" s="50">
        <v>0</v>
      </c>
      <c r="AA173" s="73">
        <v>173</v>
      </c>
      <c r="AB173" s="73"/>
      <c r="AC173" s="74"/>
      <c r="AD173" s="81" t="s">
        <v>794</v>
      </c>
      <c r="AE173" s="81" t="s">
        <v>865</v>
      </c>
      <c r="AF173" s="81"/>
      <c r="AG173" s="81"/>
      <c r="AH173" s="81"/>
      <c r="AI173" s="81" t="s">
        <v>1045</v>
      </c>
      <c r="AJ173" s="85">
        <v>39800.845497685186</v>
      </c>
      <c r="AK173" s="83" t="str">
        <f>HYPERLINK("https://yt3.ggpht.com/01F7Na6lc9AuqCNhS7vjoRXfYFeGPXykpW3Fg-kFVGgz5FTiF2fZvI0slCr_euG3PSfoRV1aPIs=s88-c-k-c0x00ffffff-no-rj")</f>
        <v>https://yt3.ggpht.com/01F7Na6lc9AuqCNhS7vjoRXfYFeGPXykpW3Fg-kFVGgz5FTiF2fZvI0slCr_euG3PSfoRV1aPIs=s88-c-k-c0x00ffffff-no-rj</v>
      </c>
      <c r="AL173" s="81">
        <v>41205</v>
      </c>
      <c r="AM173" s="81">
        <v>0</v>
      </c>
      <c r="AN173" s="81">
        <v>115</v>
      </c>
      <c r="AO173" s="81" t="b">
        <v>0</v>
      </c>
      <c r="AP173" s="81">
        <v>60</v>
      </c>
      <c r="AQ173" s="81"/>
      <c r="AR173" s="81"/>
      <c r="AS173" s="81" t="s">
        <v>1057</v>
      </c>
      <c r="AT173" s="83" t="str">
        <f>HYPERLINK("https://www.youtube.com/channel/UCuTzX94ENhBJONvB2ahw24w")</f>
        <v>https://www.youtube.com/channel/UCuTzX94ENhBJONvB2ahw24w</v>
      </c>
      <c r="AU173" s="81">
        <v>2</v>
      </c>
      <c r="AV173" s="49"/>
      <c r="AW173" s="50"/>
      <c r="AX173" s="49"/>
      <c r="AY173" s="50"/>
      <c r="AZ173" s="49"/>
      <c r="BA173" s="50"/>
      <c r="BB173" s="49"/>
      <c r="BC173" s="50"/>
      <c r="BD173" s="49"/>
      <c r="BE173" s="49"/>
      <c r="BF173" s="49"/>
      <c r="BG173" s="49"/>
      <c r="BH173" s="49"/>
      <c r="BI173" s="49"/>
      <c r="BJ173" s="49"/>
      <c r="BK173" s="115" t="s">
        <v>1634</v>
      </c>
      <c r="BL173" s="115" t="s">
        <v>1634</v>
      </c>
      <c r="BM173" s="115" t="s">
        <v>1634</v>
      </c>
      <c r="BN173" s="115" t="s">
        <v>1634</v>
      </c>
      <c r="BO173" s="2"/>
      <c r="BP173" s="3"/>
      <c r="BQ173" s="3"/>
      <c r="BR173" s="3"/>
      <c r="BS173" s="3"/>
    </row>
    <row r="174" spans="1:71" ht="15">
      <c r="A174" s="66" t="s">
        <v>393</v>
      </c>
      <c r="B174" s="67"/>
      <c r="C174" s="67"/>
      <c r="D174" s="68">
        <v>150</v>
      </c>
      <c r="E174" s="70"/>
      <c r="F174" s="103" t="str">
        <f>HYPERLINK("https://yt3.ggpht.com/ql9H_dCKr07DA_yRsqX2UXyvXu2UVXR3x2OMctwLnGg7GliwfaIM3hS3yxRwOEp9dVjx9_P2bNI=s88-c-k-c0x00ffffff-no-rj")</f>
        <v>https://yt3.ggpht.com/ql9H_dCKr07DA_yRsqX2UXyvXu2UVXR3x2OMctwLnGg7GliwfaIM3hS3yxRwOEp9dVjx9_P2bNI=s88-c-k-c0x00ffffff-no-rj</v>
      </c>
      <c r="G174" s="67"/>
      <c r="H174" s="71" t="s">
        <v>795</v>
      </c>
      <c r="I174" s="72"/>
      <c r="J174" s="72" t="s">
        <v>159</v>
      </c>
      <c r="K174" s="71" t="s">
        <v>795</v>
      </c>
      <c r="L174" s="75">
        <v>1</v>
      </c>
      <c r="M174" s="76">
        <v>5484.45703125</v>
      </c>
      <c r="N174" s="76">
        <v>9467.4443359375</v>
      </c>
      <c r="O174" s="77"/>
      <c r="P174" s="78"/>
      <c r="Q174" s="78"/>
      <c r="R174" s="89"/>
      <c r="S174" s="49">
        <v>1</v>
      </c>
      <c r="T174" s="49">
        <v>1</v>
      </c>
      <c r="U174" s="50">
        <v>0</v>
      </c>
      <c r="V174" s="50">
        <v>0</v>
      </c>
      <c r="W174" s="50">
        <v>0</v>
      </c>
      <c r="X174" s="50">
        <v>0.005525</v>
      </c>
      <c r="Y174" s="50">
        <v>0</v>
      </c>
      <c r="Z174" s="50">
        <v>0</v>
      </c>
      <c r="AA174" s="73">
        <v>174</v>
      </c>
      <c r="AB174" s="73"/>
      <c r="AC174" s="74"/>
      <c r="AD174" s="81" t="s">
        <v>795</v>
      </c>
      <c r="AE174" s="81" t="s">
        <v>866</v>
      </c>
      <c r="AF174" s="81"/>
      <c r="AG174" s="81"/>
      <c r="AH174" s="81"/>
      <c r="AI174" s="81" t="s">
        <v>1046</v>
      </c>
      <c r="AJ174" s="85">
        <v>42865.523148148146</v>
      </c>
      <c r="AK174" s="83" t="str">
        <f>HYPERLINK("https://yt3.ggpht.com/ql9H_dCKr07DA_yRsqX2UXyvXu2UVXR3x2OMctwLnGg7GliwfaIM3hS3yxRwOEp9dVjx9_P2bNI=s88-c-k-c0x00ffffff-no-rj")</f>
        <v>https://yt3.ggpht.com/ql9H_dCKr07DA_yRsqX2UXyvXu2UVXR3x2OMctwLnGg7GliwfaIM3hS3yxRwOEp9dVjx9_P2bNI=s88-c-k-c0x00ffffff-no-rj</v>
      </c>
      <c r="AL174" s="81">
        <v>844607</v>
      </c>
      <c r="AM174" s="81">
        <v>0</v>
      </c>
      <c r="AN174" s="81">
        <v>4230</v>
      </c>
      <c r="AO174" s="81" t="b">
        <v>0</v>
      </c>
      <c r="AP174" s="81">
        <v>733</v>
      </c>
      <c r="AQ174" s="81"/>
      <c r="AR174" s="81"/>
      <c r="AS174" s="81" t="s">
        <v>1057</v>
      </c>
      <c r="AT174" s="83" t="str">
        <f>HYPERLINK("https://www.youtube.com/channel/UCxoVagz0y4JRxktrzzVtHmw")</f>
        <v>https://www.youtube.com/channel/UCxoVagz0y4JRxktrzzVtHmw</v>
      </c>
      <c r="AU174" s="81">
        <v>2</v>
      </c>
      <c r="AV174" s="49"/>
      <c r="AW174" s="50"/>
      <c r="AX174" s="49"/>
      <c r="AY174" s="50"/>
      <c r="AZ174" s="49"/>
      <c r="BA174" s="50"/>
      <c r="BB174" s="49"/>
      <c r="BC174" s="50"/>
      <c r="BD174" s="49"/>
      <c r="BE174" s="49"/>
      <c r="BF174" s="49"/>
      <c r="BG174" s="49"/>
      <c r="BH174" s="49"/>
      <c r="BI174" s="49"/>
      <c r="BJ174" s="49"/>
      <c r="BK174" s="115" t="s">
        <v>1634</v>
      </c>
      <c r="BL174" s="115" t="s">
        <v>1634</v>
      </c>
      <c r="BM174" s="115" t="s">
        <v>1634</v>
      </c>
      <c r="BN174" s="115" t="s">
        <v>1634</v>
      </c>
      <c r="BO174" s="2"/>
      <c r="BP174" s="3"/>
      <c r="BQ174" s="3"/>
      <c r="BR174" s="3"/>
      <c r="BS174" s="3"/>
    </row>
    <row r="175" spans="1:71" ht="15">
      <c r="A175" s="66" t="s">
        <v>394</v>
      </c>
      <c r="B175" s="67"/>
      <c r="C175" s="67"/>
      <c r="D175" s="68">
        <v>150</v>
      </c>
      <c r="E175" s="70"/>
      <c r="F175" s="103" t="str">
        <f>HYPERLINK("https://yt3.ggpht.com/Xhkq2qonW6ai6_Q8sryBJbbI3kYPDzWgPj8EZEeq_jFuhG1-rrnAETnraAVaED8f70PYIO0PcQ=s88-c-k-c0x00ffffff-no-rj")</f>
        <v>https://yt3.ggpht.com/Xhkq2qonW6ai6_Q8sryBJbbI3kYPDzWgPj8EZEeq_jFuhG1-rrnAETnraAVaED8f70PYIO0PcQ=s88-c-k-c0x00ffffff-no-rj</v>
      </c>
      <c r="G175" s="67"/>
      <c r="H175" s="71" t="s">
        <v>796</v>
      </c>
      <c r="I175" s="72"/>
      <c r="J175" s="72" t="s">
        <v>159</v>
      </c>
      <c r="K175" s="71" t="s">
        <v>796</v>
      </c>
      <c r="L175" s="75">
        <v>1</v>
      </c>
      <c r="M175" s="76">
        <v>6072.2431640625</v>
      </c>
      <c r="N175" s="76">
        <v>9467.4443359375</v>
      </c>
      <c r="O175" s="77"/>
      <c r="P175" s="78"/>
      <c r="Q175" s="78"/>
      <c r="R175" s="89"/>
      <c r="S175" s="49">
        <v>1</v>
      </c>
      <c r="T175" s="49">
        <v>1</v>
      </c>
      <c r="U175" s="50">
        <v>0</v>
      </c>
      <c r="V175" s="50">
        <v>0</v>
      </c>
      <c r="W175" s="50">
        <v>0</v>
      </c>
      <c r="X175" s="50">
        <v>0.005525</v>
      </c>
      <c r="Y175" s="50">
        <v>0</v>
      </c>
      <c r="Z175" s="50">
        <v>0</v>
      </c>
      <c r="AA175" s="73">
        <v>175</v>
      </c>
      <c r="AB175" s="73"/>
      <c r="AC175" s="74"/>
      <c r="AD175" s="81" t="s">
        <v>796</v>
      </c>
      <c r="AE175" s="81" t="s">
        <v>867</v>
      </c>
      <c r="AF175" s="81"/>
      <c r="AG175" s="81"/>
      <c r="AH175" s="81"/>
      <c r="AI175" s="81" t="s">
        <v>1047</v>
      </c>
      <c r="AJ175" s="85">
        <v>44859.13564814815</v>
      </c>
      <c r="AK175" s="83" t="str">
        <f>HYPERLINK("https://yt3.ggpht.com/Xhkq2qonW6ai6_Q8sryBJbbI3kYPDzWgPj8EZEeq_jFuhG1-rrnAETnraAVaED8f70PYIO0PcQ=s88-c-k-c0x00ffffff-no-rj")</f>
        <v>https://yt3.ggpht.com/Xhkq2qonW6ai6_Q8sryBJbbI3kYPDzWgPj8EZEeq_jFuhG1-rrnAETnraAVaED8f70PYIO0PcQ=s88-c-k-c0x00ffffff-no-rj</v>
      </c>
      <c r="AL175" s="81">
        <v>16689</v>
      </c>
      <c r="AM175" s="81">
        <v>0</v>
      </c>
      <c r="AN175" s="81">
        <v>102</v>
      </c>
      <c r="AO175" s="81" t="b">
        <v>0</v>
      </c>
      <c r="AP175" s="81">
        <v>6776</v>
      </c>
      <c r="AQ175" s="81"/>
      <c r="AR175" s="81"/>
      <c r="AS175" s="81" t="s">
        <v>1057</v>
      </c>
      <c r="AT175" s="83" t="str">
        <f>HYPERLINK("https://www.youtube.com/channel/UCJvZYspa9qxhoccHGQfYIFA")</f>
        <v>https://www.youtube.com/channel/UCJvZYspa9qxhoccHGQfYIFA</v>
      </c>
      <c r="AU175" s="81">
        <v>2</v>
      </c>
      <c r="AV175" s="49"/>
      <c r="AW175" s="50"/>
      <c r="AX175" s="49"/>
      <c r="AY175" s="50"/>
      <c r="AZ175" s="49"/>
      <c r="BA175" s="50"/>
      <c r="BB175" s="49"/>
      <c r="BC175" s="50"/>
      <c r="BD175" s="49"/>
      <c r="BE175" s="49"/>
      <c r="BF175" s="49"/>
      <c r="BG175" s="49"/>
      <c r="BH175" s="49"/>
      <c r="BI175" s="49"/>
      <c r="BJ175" s="49"/>
      <c r="BK175" s="115" t="s">
        <v>1634</v>
      </c>
      <c r="BL175" s="115" t="s">
        <v>1634</v>
      </c>
      <c r="BM175" s="115" t="s">
        <v>1634</v>
      </c>
      <c r="BN175" s="115" t="s">
        <v>1634</v>
      </c>
      <c r="BO175" s="2"/>
      <c r="BP175" s="3"/>
      <c r="BQ175" s="3"/>
      <c r="BR175" s="3"/>
      <c r="BS175" s="3"/>
    </row>
    <row r="176" spans="1:71" ht="15">
      <c r="A176" s="66" t="s">
        <v>395</v>
      </c>
      <c r="B176" s="67"/>
      <c r="C176" s="67"/>
      <c r="D176" s="68">
        <v>150</v>
      </c>
      <c r="E176" s="70"/>
      <c r="F176" s="103" t="str">
        <f>HYPERLINK("https://yt3.ggpht.com/ytc/AOPolaTA5Qq2SA15FZ5Lpx6AYNAOEF1QtFiXSUUGBL5N=s88-c-k-c0x00ffffff-no-rj")</f>
        <v>https://yt3.ggpht.com/ytc/AOPolaTA5Qq2SA15FZ5Lpx6AYNAOEF1QtFiXSUUGBL5N=s88-c-k-c0x00ffffff-no-rj</v>
      </c>
      <c r="G176" s="67"/>
      <c r="H176" s="71" t="s">
        <v>797</v>
      </c>
      <c r="I176" s="72"/>
      <c r="J176" s="72" t="s">
        <v>159</v>
      </c>
      <c r="K176" s="71" t="s">
        <v>797</v>
      </c>
      <c r="L176" s="75">
        <v>1</v>
      </c>
      <c r="M176" s="76">
        <v>6660.029296875</v>
      </c>
      <c r="N176" s="76">
        <v>9467.4443359375</v>
      </c>
      <c r="O176" s="77"/>
      <c r="P176" s="78"/>
      <c r="Q176" s="78"/>
      <c r="R176" s="89"/>
      <c r="S176" s="49">
        <v>1</v>
      </c>
      <c r="T176" s="49">
        <v>1</v>
      </c>
      <c r="U176" s="50">
        <v>0</v>
      </c>
      <c r="V176" s="50">
        <v>0</v>
      </c>
      <c r="W176" s="50">
        <v>0</v>
      </c>
      <c r="X176" s="50">
        <v>0.005525</v>
      </c>
      <c r="Y176" s="50">
        <v>0</v>
      </c>
      <c r="Z176" s="50">
        <v>0</v>
      </c>
      <c r="AA176" s="73">
        <v>176</v>
      </c>
      <c r="AB176" s="73"/>
      <c r="AC176" s="74"/>
      <c r="AD176" s="81" t="s">
        <v>797</v>
      </c>
      <c r="AE176" s="81" t="s">
        <v>868</v>
      </c>
      <c r="AF176" s="81"/>
      <c r="AG176" s="81"/>
      <c r="AH176" s="81"/>
      <c r="AI176" s="81" t="s">
        <v>1048</v>
      </c>
      <c r="AJ176" s="85">
        <v>42605.590682870374</v>
      </c>
      <c r="AK176" s="83" t="str">
        <f>HYPERLINK("https://yt3.ggpht.com/ytc/AOPolaTA5Qq2SA15FZ5Lpx6AYNAOEF1QtFiXSUUGBL5N=s88-c-k-c0x00ffffff-no-rj")</f>
        <v>https://yt3.ggpht.com/ytc/AOPolaTA5Qq2SA15FZ5Lpx6AYNAOEF1QtFiXSUUGBL5N=s88-c-k-c0x00ffffff-no-rj</v>
      </c>
      <c r="AL176" s="81">
        <v>28165</v>
      </c>
      <c r="AM176" s="81">
        <v>0</v>
      </c>
      <c r="AN176" s="81">
        <v>140</v>
      </c>
      <c r="AO176" s="81" t="b">
        <v>0</v>
      </c>
      <c r="AP176" s="81">
        <v>152</v>
      </c>
      <c r="AQ176" s="81"/>
      <c r="AR176" s="81"/>
      <c r="AS176" s="81" t="s">
        <v>1057</v>
      </c>
      <c r="AT176" s="83" t="str">
        <f>HYPERLINK("https://www.youtube.com/channel/UCRxYH6tdy4P41qF4iAPy4ZA")</f>
        <v>https://www.youtube.com/channel/UCRxYH6tdy4P41qF4iAPy4ZA</v>
      </c>
      <c r="AU176" s="81">
        <v>2</v>
      </c>
      <c r="AV176" s="49"/>
      <c r="AW176" s="50"/>
      <c r="AX176" s="49"/>
      <c r="AY176" s="50"/>
      <c r="AZ176" s="49"/>
      <c r="BA176" s="50"/>
      <c r="BB176" s="49"/>
      <c r="BC176" s="50"/>
      <c r="BD176" s="49"/>
      <c r="BE176" s="49"/>
      <c r="BF176" s="49"/>
      <c r="BG176" s="49"/>
      <c r="BH176" s="49"/>
      <c r="BI176" s="49"/>
      <c r="BJ176" s="49"/>
      <c r="BK176" s="115" t="s">
        <v>1634</v>
      </c>
      <c r="BL176" s="115" t="s">
        <v>1634</v>
      </c>
      <c r="BM176" s="115" t="s">
        <v>1634</v>
      </c>
      <c r="BN176" s="115" t="s">
        <v>1634</v>
      </c>
      <c r="BO176" s="2"/>
      <c r="BP176" s="3"/>
      <c r="BQ176" s="3"/>
      <c r="BR176" s="3"/>
      <c r="BS176" s="3"/>
    </row>
    <row r="177" spans="1:71" ht="15">
      <c r="A177" s="66" t="s">
        <v>396</v>
      </c>
      <c r="B177" s="67"/>
      <c r="C177" s="67"/>
      <c r="D177" s="68">
        <v>150</v>
      </c>
      <c r="E177" s="70"/>
      <c r="F177" s="103" t="str">
        <f>HYPERLINK("https://yt3.ggpht.com/xR1TwYKs2Vlt37Lbm_-KvVJ1CEfkY0HDUOdrjum2t8VioeiI8pZwdd7UorXmieFAHpqo7qhJkA=s88-c-k-c0x00ffffff-no-rj")</f>
        <v>https://yt3.ggpht.com/xR1TwYKs2Vlt37Lbm_-KvVJ1CEfkY0HDUOdrjum2t8VioeiI8pZwdd7UorXmieFAHpqo7qhJkA=s88-c-k-c0x00ffffff-no-rj</v>
      </c>
      <c r="G177" s="67"/>
      <c r="H177" s="71" t="s">
        <v>798</v>
      </c>
      <c r="I177" s="72"/>
      <c r="J177" s="72" t="s">
        <v>159</v>
      </c>
      <c r="K177" s="71" t="s">
        <v>798</v>
      </c>
      <c r="L177" s="75">
        <v>1</v>
      </c>
      <c r="M177" s="76">
        <v>7247.8154296875</v>
      </c>
      <c r="N177" s="76">
        <v>8691.6591796875</v>
      </c>
      <c r="O177" s="77"/>
      <c r="P177" s="78"/>
      <c r="Q177" s="78"/>
      <c r="R177" s="89"/>
      <c r="S177" s="49">
        <v>1</v>
      </c>
      <c r="T177" s="49">
        <v>1</v>
      </c>
      <c r="U177" s="50">
        <v>0</v>
      </c>
      <c r="V177" s="50">
        <v>0</v>
      </c>
      <c r="W177" s="50">
        <v>0</v>
      </c>
      <c r="X177" s="50">
        <v>0.005525</v>
      </c>
      <c r="Y177" s="50">
        <v>0</v>
      </c>
      <c r="Z177" s="50">
        <v>0</v>
      </c>
      <c r="AA177" s="73">
        <v>177</v>
      </c>
      <c r="AB177" s="73"/>
      <c r="AC177" s="74"/>
      <c r="AD177" s="81" t="s">
        <v>798</v>
      </c>
      <c r="AE177" s="81" t="s">
        <v>869</v>
      </c>
      <c r="AF177" s="81"/>
      <c r="AG177" s="81"/>
      <c r="AH177" s="81"/>
      <c r="AI177" s="81" t="s">
        <v>1049</v>
      </c>
      <c r="AJ177" s="85">
        <v>44931.891875</v>
      </c>
      <c r="AK177" s="83" t="str">
        <f>HYPERLINK("https://yt3.ggpht.com/xR1TwYKs2Vlt37Lbm_-KvVJ1CEfkY0HDUOdrjum2t8VioeiI8pZwdd7UorXmieFAHpqo7qhJkA=s88-c-k-c0x00ffffff-no-rj")</f>
        <v>https://yt3.ggpht.com/xR1TwYKs2Vlt37Lbm_-KvVJ1CEfkY0HDUOdrjum2t8VioeiI8pZwdd7UorXmieFAHpqo7qhJkA=s88-c-k-c0x00ffffff-no-rj</v>
      </c>
      <c r="AL177" s="81">
        <v>99</v>
      </c>
      <c r="AM177" s="81">
        <v>0</v>
      </c>
      <c r="AN177" s="81">
        <v>3</v>
      </c>
      <c r="AO177" s="81" t="b">
        <v>0</v>
      </c>
      <c r="AP177" s="81">
        <v>4</v>
      </c>
      <c r="AQ177" s="81"/>
      <c r="AR177" s="81"/>
      <c r="AS177" s="81" t="s">
        <v>1057</v>
      </c>
      <c r="AT177" s="83" t="str">
        <f>HYPERLINK("https://www.youtube.com/channel/UCYmZ7xGJwG-V865ObZd0lXQ")</f>
        <v>https://www.youtube.com/channel/UCYmZ7xGJwG-V865ObZd0lXQ</v>
      </c>
      <c r="AU177" s="81">
        <v>2</v>
      </c>
      <c r="AV177" s="49"/>
      <c r="AW177" s="50"/>
      <c r="AX177" s="49"/>
      <c r="AY177" s="50"/>
      <c r="AZ177" s="49"/>
      <c r="BA177" s="50"/>
      <c r="BB177" s="49"/>
      <c r="BC177" s="50"/>
      <c r="BD177" s="49"/>
      <c r="BE177" s="49"/>
      <c r="BF177" s="49"/>
      <c r="BG177" s="49"/>
      <c r="BH177" s="49"/>
      <c r="BI177" s="49"/>
      <c r="BJ177" s="49"/>
      <c r="BK177" s="115" t="s">
        <v>1634</v>
      </c>
      <c r="BL177" s="115" t="s">
        <v>1634</v>
      </c>
      <c r="BM177" s="115" t="s">
        <v>1634</v>
      </c>
      <c r="BN177" s="115" t="s">
        <v>1634</v>
      </c>
      <c r="BO177" s="2"/>
      <c r="BP177" s="3"/>
      <c r="BQ177" s="3"/>
      <c r="BR177" s="3"/>
      <c r="BS177" s="3"/>
    </row>
    <row r="178" spans="1:71" ht="15">
      <c r="A178" s="66" t="s">
        <v>397</v>
      </c>
      <c r="B178" s="67"/>
      <c r="C178" s="67"/>
      <c r="D178" s="68">
        <v>150</v>
      </c>
      <c r="E178" s="70"/>
      <c r="F178" s="103" t="str">
        <f>HYPERLINK("https://yt3.ggpht.com/14a8xcrDNj8pXJXsXwHW9Y4iriGurYrV5YnQX_tB1WYtcwTTeUcbRk-21kj9ZtNZshm2BRr4-Q=s88-c-k-c0x00ffffff-no-rj")</f>
        <v>https://yt3.ggpht.com/14a8xcrDNj8pXJXsXwHW9Y4iriGurYrV5YnQX_tB1WYtcwTTeUcbRk-21kj9ZtNZshm2BRr4-Q=s88-c-k-c0x00ffffff-no-rj</v>
      </c>
      <c r="G178" s="67"/>
      <c r="H178" s="71" t="s">
        <v>799</v>
      </c>
      <c r="I178" s="72"/>
      <c r="J178" s="72" t="s">
        <v>159</v>
      </c>
      <c r="K178" s="71" t="s">
        <v>799</v>
      </c>
      <c r="L178" s="75">
        <v>1</v>
      </c>
      <c r="M178" s="76">
        <v>7835.6015625</v>
      </c>
      <c r="N178" s="76">
        <v>8691.6591796875</v>
      </c>
      <c r="O178" s="77"/>
      <c r="P178" s="78"/>
      <c r="Q178" s="78"/>
      <c r="R178" s="89"/>
      <c r="S178" s="49">
        <v>1</v>
      </c>
      <c r="T178" s="49">
        <v>1</v>
      </c>
      <c r="U178" s="50">
        <v>0</v>
      </c>
      <c r="V178" s="50">
        <v>0</v>
      </c>
      <c r="W178" s="50">
        <v>0</v>
      </c>
      <c r="X178" s="50">
        <v>0.005525</v>
      </c>
      <c r="Y178" s="50">
        <v>0</v>
      </c>
      <c r="Z178" s="50">
        <v>0</v>
      </c>
      <c r="AA178" s="73">
        <v>178</v>
      </c>
      <c r="AB178" s="73"/>
      <c r="AC178" s="74"/>
      <c r="AD178" s="81" t="s">
        <v>799</v>
      </c>
      <c r="AE178" s="81" t="s">
        <v>870</v>
      </c>
      <c r="AF178" s="81"/>
      <c r="AG178" s="81"/>
      <c r="AH178" s="81"/>
      <c r="AI178" s="81" t="s">
        <v>1050</v>
      </c>
      <c r="AJ178" s="85">
        <v>43279.77099537037</v>
      </c>
      <c r="AK178" s="83" t="str">
        <f>HYPERLINK("https://yt3.ggpht.com/14a8xcrDNj8pXJXsXwHW9Y4iriGurYrV5YnQX_tB1WYtcwTTeUcbRk-21kj9ZtNZshm2BRr4-Q=s88-c-k-c0x00ffffff-no-rj")</f>
        <v>https://yt3.ggpht.com/14a8xcrDNj8pXJXsXwHW9Y4iriGurYrV5YnQX_tB1WYtcwTTeUcbRk-21kj9ZtNZshm2BRr4-Q=s88-c-k-c0x00ffffff-no-rj</v>
      </c>
      <c r="AL178" s="81">
        <v>11522938</v>
      </c>
      <c r="AM178" s="81">
        <v>0</v>
      </c>
      <c r="AN178" s="81">
        <v>85900</v>
      </c>
      <c r="AO178" s="81" t="b">
        <v>0</v>
      </c>
      <c r="AP178" s="81">
        <v>14078</v>
      </c>
      <c r="AQ178" s="81"/>
      <c r="AR178" s="81"/>
      <c r="AS178" s="81" t="s">
        <v>1057</v>
      </c>
      <c r="AT178" s="83" t="str">
        <f>HYPERLINK("https://www.youtube.com/channel/UCPLKy4Ypb4mfblbjJI8Aljw")</f>
        <v>https://www.youtube.com/channel/UCPLKy4Ypb4mfblbjJI8Aljw</v>
      </c>
      <c r="AU178" s="81">
        <v>2</v>
      </c>
      <c r="AV178" s="49"/>
      <c r="AW178" s="50"/>
      <c r="AX178" s="49"/>
      <c r="AY178" s="50"/>
      <c r="AZ178" s="49"/>
      <c r="BA178" s="50"/>
      <c r="BB178" s="49"/>
      <c r="BC178" s="50"/>
      <c r="BD178" s="49"/>
      <c r="BE178" s="49"/>
      <c r="BF178" s="49"/>
      <c r="BG178" s="49"/>
      <c r="BH178" s="49"/>
      <c r="BI178" s="49"/>
      <c r="BJ178" s="49"/>
      <c r="BK178" s="115" t="s">
        <v>1634</v>
      </c>
      <c r="BL178" s="115" t="s">
        <v>1634</v>
      </c>
      <c r="BM178" s="115" t="s">
        <v>1634</v>
      </c>
      <c r="BN178" s="115" t="s">
        <v>1634</v>
      </c>
      <c r="BO178" s="2"/>
      <c r="BP178" s="3"/>
      <c r="BQ178" s="3"/>
      <c r="BR178" s="3"/>
      <c r="BS178" s="3"/>
    </row>
    <row r="179" spans="1:71" ht="15">
      <c r="A179" s="66" t="s">
        <v>398</v>
      </c>
      <c r="B179" s="67"/>
      <c r="C179" s="67"/>
      <c r="D179" s="68">
        <v>150</v>
      </c>
      <c r="E179" s="70"/>
      <c r="F179" s="103" t="str">
        <f>HYPERLINK("https://yt3.ggpht.com/ytc/AOPolaTr-TJAd0R3yhZTF9Tsb-CvYYftw9cCTbr4M6cQ6A=s88-c-k-c0x00ffffff-no-rj")</f>
        <v>https://yt3.ggpht.com/ytc/AOPolaTr-TJAd0R3yhZTF9Tsb-CvYYftw9cCTbr4M6cQ6A=s88-c-k-c0x00ffffff-no-rj</v>
      </c>
      <c r="G179" s="67"/>
      <c r="H179" s="71" t="s">
        <v>800</v>
      </c>
      <c r="I179" s="72"/>
      <c r="J179" s="72" t="s">
        <v>159</v>
      </c>
      <c r="K179" s="71" t="s">
        <v>800</v>
      </c>
      <c r="L179" s="75">
        <v>1</v>
      </c>
      <c r="M179" s="76">
        <v>8423.3876953125</v>
      </c>
      <c r="N179" s="76">
        <v>8691.6591796875</v>
      </c>
      <c r="O179" s="77"/>
      <c r="P179" s="78"/>
      <c r="Q179" s="78"/>
      <c r="R179" s="89"/>
      <c r="S179" s="49">
        <v>1</v>
      </c>
      <c r="T179" s="49">
        <v>1</v>
      </c>
      <c r="U179" s="50">
        <v>0</v>
      </c>
      <c r="V179" s="50">
        <v>0</v>
      </c>
      <c r="W179" s="50">
        <v>0</v>
      </c>
      <c r="X179" s="50">
        <v>0.005525</v>
      </c>
      <c r="Y179" s="50">
        <v>0</v>
      </c>
      <c r="Z179" s="50">
        <v>0</v>
      </c>
      <c r="AA179" s="73">
        <v>179</v>
      </c>
      <c r="AB179" s="73"/>
      <c r="AC179" s="74"/>
      <c r="AD179" s="81" t="s">
        <v>800</v>
      </c>
      <c r="AE179" s="81" t="s">
        <v>871</v>
      </c>
      <c r="AF179" s="81"/>
      <c r="AG179" s="81"/>
      <c r="AH179" s="81"/>
      <c r="AI179" s="81" t="s">
        <v>1051</v>
      </c>
      <c r="AJ179" s="85">
        <v>43060.581030092595</v>
      </c>
      <c r="AK179" s="83" t="str">
        <f>HYPERLINK("https://yt3.ggpht.com/ytc/AOPolaTr-TJAd0R3yhZTF9Tsb-CvYYftw9cCTbr4M6cQ6A=s88-c-k-c0x00ffffff-no-rj")</f>
        <v>https://yt3.ggpht.com/ytc/AOPolaTr-TJAd0R3yhZTF9Tsb-CvYYftw9cCTbr4M6cQ6A=s88-c-k-c0x00ffffff-no-rj</v>
      </c>
      <c r="AL179" s="81">
        <v>623</v>
      </c>
      <c r="AM179" s="81">
        <v>0</v>
      </c>
      <c r="AN179" s="81">
        <v>3</v>
      </c>
      <c r="AO179" s="81" t="b">
        <v>0</v>
      </c>
      <c r="AP179" s="81">
        <v>13</v>
      </c>
      <c r="AQ179" s="81"/>
      <c r="AR179" s="81"/>
      <c r="AS179" s="81" t="s">
        <v>1057</v>
      </c>
      <c r="AT179" s="83" t="str">
        <f>HYPERLINK("https://www.youtube.com/channel/UCsp9phy3joAWoHzrmhmzz4A")</f>
        <v>https://www.youtube.com/channel/UCsp9phy3joAWoHzrmhmzz4A</v>
      </c>
      <c r="AU179" s="81">
        <v>2</v>
      </c>
      <c r="AV179" s="49"/>
      <c r="AW179" s="50"/>
      <c r="AX179" s="49"/>
      <c r="AY179" s="50"/>
      <c r="AZ179" s="49"/>
      <c r="BA179" s="50"/>
      <c r="BB179" s="49"/>
      <c r="BC179" s="50"/>
      <c r="BD179" s="49"/>
      <c r="BE179" s="49"/>
      <c r="BF179" s="49"/>
      <c r="BG179" s="49"/>
      <c r="BH179" s="49"/>
      <c r="BI179" s="49"/>
      <c r="BJ179" s="49"/>
      <c r="BK179" s="115" t="s">
        <v>1634</v>
      </c>
      <c r="BL179" s="115" t="s">
        <v>1634</v>
      </c>
      <c r="BM179" s="115" t="s">
        <v>1634</v>
      </c>
      <c r="BN179" s="115" t="s">
        <v>1634</v>
      </c>
      <c r="BO179" s="2"/>
      <c r="BP179" s="3"/>
      <c r="BQ179" s="3"/>
      <c r="BR179" s="3"/>
      <c r="BS179" s="3"/>
    </row>
    <row r="180" spans="1:71" ht="15">
      <c r="A180" s="66" t="s">
        <v>399</v>
      </c>
      <c r="B180" s="67"/>
      <c r="C180" s="67"/>
      <c r="D180" s="68">
        <v>150</v>
      </c>
      <c r="E180" s="70"/>
      <c r="F180" s="103" t="str">
        <f>HYPERLINK("https://yt3.ggpht.com/guDgj-qcxvvN8L3OI7OiSI99B2_IcJa-XPL-oNUiGGib4QS8QNgETXhJwPxYi3_dL-BrUxdg_mg=s88-c-k-c0x00ffffff-no-rj")</f>
        <v>https://yt3.ggpht.com/guDgj-qcxvvN8L3OI7OiSI99B2_IcJa-XPL-oNUiGGib4QS8QNgETXhJwPxYi3_dL-BrUxdg_mg=s88-c-k-c0x00ffffff-no-rj</v>
      </c>
      <c r="G180" s="67"/>
      <c r="H180" s="71" t="s">
        <v>801</v>
      </c>
      <c r="I180" s="72"/>
      <c r="J180" s="72" t="s">
        <v>159</v>
      </c>
      <c r="K180" s="71" t="s">
        <v>801</v>
      </c>
      <c r="L180" s="75">
        <v>1</v>
      </c>
      <c r="M180" s="76">
        <v>6660.029296875</v>
      </c>
      <c r="N180" s="76">
        <v>8691.6591796875</v>
      </c>
      <c r="O180" s="77"/>
      <c r="P180" s="78"/>
      <c r="Q180" s="78"/>
      <c r="R180" s="89"/>
      <c r="S180" s="49">
        <v>1</v>
      </c>
      <c r="T180" s="49">
        <v>1</v>
      </c>
      <c r="U180" s="50">
        <v>0</v>
      </c>
      <c r="V180" s="50">
        <v>0</v>
      </c>
      <c r="W180" s="50">
        <v>0</v>
      </c>
      <c r="X180" s="50">
        <v>0.005525</v>
      </c>
      <c r="Y180" s="50">
        <v>0</v>
      </c>
      <c r="Z180" s="50">
        <v>0</v>
      </c>
      <c r="AA180" s="73">
        <v>180</v>
      </c>
      <c r="AB180" s="73"/>
      <c r="AC180" s="74"/>
      <c r="AD180" s="81" t="s">
        <v>801</v>
      </c>
      <c r="AE180" s="81" t="s">
        <v>872</v>
      </c>
      <c r="AF180" s="81"/>
      <c r="AG180" s="81"/>
      <c r="AH180" s="81"/>
      <c r="AI180" s="81" t="s">
        <v>1052</v>
      </c>
      <c r="AJ180" s="85">
        <v>42382.156377314815</v>
      </c>
      <c r="AK180" s="83" t="str">
        <f>HYPERLINK("https://yt3.ggpht.com/guDgj-qcxvvN8L3OI7OiSI99B2_IcJa-XPL-oNUiGGib4QS8QNgETXhJwPxYi3_dL-BrUxdg_mg=s88-c-k-c0x00ffffff-no-rj")</f>
        <v>https://yt3.ggpht.com/guDgj-qcxvvN8L3OI7OiSI99B2_IcJa-XPL-oNUiGGib4QS8QNgETXhJwPxYi3_dL-BrUxdg_mg=s88-c-k-c0x00ffffff-no-rj</v>
      </c>
      <c r="AL180" s="81">
        <v>2924</v>
      </c>
      <c r="AM180" s="81">
        <v>0</v>
      </c>
      <c r="AN180" s="81">
        <v>78</v>
      </c>
      <c r="AO180" s="81" t="b">
        <v>0</v>
      </c>
      <c r="AP180" s="81">
        <v>55</v>
      </c>
      <c r="AQ180" s="81"/>
      <c r="AR180" s="81"/>
      <c r="AS180" s="81" t="s">
        <v>1057</v>
      </c>
      <c r="AT180" s="83" t="str">
        <f>HYPERLINK("https://www.youtube.com/channel/UCWqolFV4CJo2qqyyRUlHPpA")</f>
        <v>https://www.youtube.com/channel/UCWqolFV4CJo2qqyyRUlHPpA</v>
      </c>
      <c r="AU180" s="81">
        <v>2</v>
      </c>
      <c r="AV180" s="49"/>
      <c r="AW180" s="50"/>
      <c r="AX180" s="49"/>
      <c r="AY180" s="50"/>
      <c r="AZ180" s="49"/>
      <c r="BA180" s="50"/>
      <c r="BB180" s="49"/>
      <c r="BC180" s="50"/>
      <c r="BD180" s="49"/>
      <c r="BE180" s="49"/>
      <c r="BF180" s="49"/>
      <c r="BG180" s="49"/>
      <c r="BH180" s="49"/>
      <c r="BI180" s="49"/>
      <c r="BJ180" s="49"/>
      <c r="BK180" s="115" t="s">
        <v>1634</v>
      </c>
      <c r="BL180" s="115" t="s">
        <v>1634</v>
      </c>
      <c r="BM180" s="115" t="s">
        <v>1634</v>
      </c>
      <c r="BN180" s="115" t="s">
        <v>1634</v>
      </c>
      <c r="BO180" s="2"/>
      <c r="BP180" s="3"/>
      <c r="BQ180" s="3"/>
      <c r="BR180" s="3"/>
      <c r="BS180" s="3"/>
    </row>
    <row r="181" spans="1:71" ht="15">
      <c r="A181" s="66" t="s">
        <v>400</v>
      </c>
      <c r="B181" s="67"/>
      <c r="C181" s="67"/>
      <c r="D181" s="68">
        <v>150</v>
      </c>
      <c r="E181" s="70"/>
      <c r="F181" s="103" t="str">
        <f>HYPERLINK("https://yt3.ggpht.com/XGarh5w16FFgW9FXsfju88GpYaPnhKDi2Lc2QlL4oUUunPGW2lfSGQfS-PZihQQPAOjDMLx3=s88-c-k-c0x00ffffff-no-rj")</f>
        <v>https://yt3.ggpht.com/XGarh5w16FFgW9FXsfju88GpYaPnhKDi2Lc2QlL4oUUunPGW2lfSGQfS-PZihQQPAOjDMLx3=s88-c-k-c0x00ffffff-no-rj</v>
      </c>
      <c r="G181" s="67"/>
      <c r="H181" s="71" t="s">
        <v>802</v>
      </c>
      <c r="I181" s="72"/>
      <c r="J181" s="72" t="s">
        <v>159</v>
      </c>
      <c r="K181" s="71" t="s">
        <v>802</v>
      </c>
      <c r="L181" s="75">
        <v>1</v>
      </c>
      <c r="M181" s="76">
        <v>9598.9599609375</v>
      </c>
      <c r="N181" s="76">
        <v>9467.4443359375</v>
      </c>
      <c r="O181" s="77"/>
      <c r="P181" s="78"/>
      <c r="Q181" s="78"/>
      <c r="R181" s="89"/>
      <c r="S181" s="49">
        <v>1</v>
      </c>
      <c r="T181" s="49">
        <v>1</v>
      </c>
      <c r="U181" s="50">
        <v>0</v>
      </c>
      <c r="V181" s="50">
        <v>0</v>
      </c>
      <c r="W181" s="50">
        <v>0</v>
      </c>
      <c r="X181" s="50">
        <v>0.005525</v>
      </c>
      <c r="Y181" s="50">
        <v>0</v>
      </c>
      <c r="Z181" s="50">
        <v>0</v>
      </c>
      <c r="AA181" s="73">
        <v>181</v>
      </c>
      <c r="AB181" s="73"/>
      <c r="AC181" s="74"/>
      <c r="AD181" s="81" t="s">
        <v>802</v>
      </c>
      <c r="AE181" s="81" t="s">
        <v>873</v>
      </c>
      <c r="AF181" s="81"/>
      <c r="AG181" s="81"/>
      <c r="AH181" s="81"/>
      <c r="AI181" s="81" t="s">
        <v>1053</v>
      </c>
      <c r="AJ181" s="85">
        <v>43482.56798611111</v>
      </c>
      <c r="AK181" s="83" t="str">
        <f>HYPERLINK("https://yt3.ggpht.com/XGarh5w16FFgW9FXsfju88GpYaPnhKDi2Lc2QlL4oUUunPGW2lfSGQfS-PZihQQPAOjDMLx3=s88-c-k-c0x00ffffff-no-rj")</f>
        <v>https://yt3.ggpht.com/XGarh5w16FFgW9FXsfju88GpYaPnhKDi2Lc2QlL4oUUunPGW2lfSGQfS-PZihQQPAOjDMLx3=s88-c-k-c0x00ffffff-no-rj</v>
      </c>
      <c r="AL181" s="81">
        <v>130545510</v>
      </c>
      <c r="AM181" s="81">
        <v>0</v>
      </c>
      <c r="AN181" s="81">
        <v>310000</v>
      </c>
      <c r="AO181" s="81" t="b">
        <v>0</v>
      </c>
      <c r="AP181" s="81">
        <v>42163</v>
      </c>
      <c r="AQ181" s="81"/>
      <c r="AR181" s="81"/>
      <c r="AS181" s="81" t="s">
        <v>1057</v>
      </c>
      <c r="AT181" s="83" t="str">
        <f>HYPERLINK("https://www.youtube.com/channel/UCQMML3hAsx-Mz9j9ZN0tThQ")</f>
        <v>https://www.youtube.com/channel/UCQMML3hAsx-Mz9j9ZN0tThQ</v>
      </c>
      <c r="AU181" s="81">
        <v>2</v>
      </c>
      <c r="AV181" s="49"/>
      <c r="AW181" s="50"/>
      <c r="AX181" s="49"/>
      <c r="AY181" s="50"/>
      <c r="AZ181" s="49"/>
      <c r="BA181" s="50"/>
      <c r="BB181" s="49"/>
      <c r="BC181" s="50"/>
      <c r="BD181" s="49"/>
      <c r="BE181" s="49"/>
      <c r="BF181" s="49"/>
      <c r="BG181" s="49"/>
      <c r="BH181" s="49"/>
      <c r="BI181" s="49"/>
      <c r="BJ181" s="49"/>
      <c r="BK181" s="115" t="s">
        <v>1634</v>
      </c>
      <c r="BL181" s="115" t="s">
        <v>1634</v>
      </c>
      <c r="BM181" s="115" t="s">
        <v>1634</v>
      </c>
      <c r="BN181" s="115" t="s">
        <v>1634</v>
      </c>
      <c r="BO181" s="2"/>
      <c r="BP181" s="3"/>
      <c r="BQ181" s="3"/>
      <c r="BR181" s="3"/>
      <c r="BS181" s="3"/>
    </row>
    <row r="182" spans="1:71" ht="15">
      <c r="A182" s="66" t="s">
        <v>401</v>
      </c>
      <c r="B182" s="67"/>
      <c r="C182" s="67"/>
      <c r="D182" s="68">
        <v>150</v>
      </c>
      <c r="E182" s="70"/>
      <c r="F182" s="103" t="str">
        <f>HYPERLINK("https://yt3.ggpht.com/ytc/AOPolaSR4sLmP6sJcfFD_MrkPwlKy-DwgefwL0K7QmzI=s88-c-k-c0x00ffffff-no-rj")</f>
        <v>https://yt3.ggpht.com/ytc/AOPolaSR4sLmP6sJcfFD_MrkPwlKy-DwgefwL0K7QmzI=s88-c-k-c0x00ffffff-no-rj</v>
      </c>
      <c r="G182" s="67"/>
      <c r="H182" s="71" t="s">
        <v>803</v>
      </c>
      <c r="I182" s="72"/>
      <c r="J182" s="72" t="s">
        <v>159</v>
      </c>
      <c r="K182" s="71" t="s">
        <v>803</v>
      </c>
      <c r="L182" s="75">
        <v>1</v>
      </c>
      <c r="M182" s="76">
        <v>5484.45703125</v>
      </c>
      <c r="N182" s="76">
        <v>8691.6591796875</v>
      </c>
      <c r="O182" s="77"/>
      <c r="P182" s="78"/>
      <c r="Q182" s="78"/>
      <c r="R182" s="89"/>
      <c r="S182" s="49">
        <v>1</v>
      </c>
      <c r="T182" s="49">
        <v>1</v>
      </c>
      <c r="U182" s="50">
        <v>0</v>
      </c>
      <c r="V182" s="50">
        <v>0</v>
      </c>
      <c r="W182" s="50">
        <v>0</v>
      </c>
      <c r="X182" s="50">
        <v>0.005525</v>
      </c>
      <c r="Y182" s="50">
        <v>0</v>
      </c>
      <c r="Z182" s="50">
        <v>0</v>
      </c>
      <c r="AA182" s="73">
        <v>182</v>
      </c>
      <c r="AB182" s="73"/>
      <c r="AC182" s="74"/>
      <c r="AD182" s="81" t="s">
        <v>803</v>
      </c>
      <c r="AE182" s="81" t="s">
        <v>874</v>
      </c>
      <c r="AF182" s="81"/>
      <c r="AG182" s="81"/>
      <c r="AH182" s="81"/>
      <c r="AI182" s="81" t="s">
        <v>1054</v>
      </c>
      <c r="AJ182" s="85">
        <v>44208.813622685186</v>
      </c>
      <c r="AK182" s="83" t="str">
        <f>HYPERLINK("https://yt3.ggpht.com/ytc/AOPolaSR4sLmP6sJcfFD_MrkPwlKy-DwgefwL0K7QmzI=s88-c-k-c0x00ffffff-no-rj")</f>
        <v>https://yt3.ggpht.com/ytc/AOPolaSR4sLmP6sJcfFD_MrkPwlKy-DwgefwL0K7QmzI=s88-c-k-c0x00ffffff-no-rj</v>
      </c>
      <c r="AL182" s="81">
        <v>781972</v>
      </c>
      <c r="AM182" s="81">
        <v>0</v>
      </c>
      <c r="AN182" s="81">
        <v>5230</v>
      </c>
      <c r="AO182" s="81" t="b">
        <v>0</v>
      </c>
      <c r="AP182" s="81">
        <v>4931</v>
      </c>
      <c r="AQ182" s="81"/>
      <c r="AR182" s="81"/>
      <c r="AS182" s="81" t="s">
        <v>1057</v>
      </c>
      <c r="AT182" s="83" t="str">
        <f>HYPERLINK("https://www.youtube.com/channel/UCtIzL8Ug1H6BYQZt2ItSbzg")</f>
        <v>https://www.youtube.com/channel/UCtIzL8Ug1H6BYQZt2ItSbzg</v>
      </c>
      <c r="AU182" s="81">
        <v>2</v>
      </c>
      <c r="AV182" s="49"/>
      <c r="AW182" s="50"/>
      <c r="AX182" s="49"/>
      <c r="AY182" s="50"/>
      <c r="AZ182" s="49"/>
      <c r="BA182" s="50"/>
      <c r="BB182" s="49"/>
      <c r="BC182" s="50"/>
      <c r="BD182" s="49"/>
      <c r="BE182" s="49"/>
      <c r="BF182" s="49"/>
      <c r="BG182" s="49"/>
      <c r="BH182" s="49"/>
      <c r="BI182" s="49"/>
      <c r="BJ182" s="49"/>
      <c r="BK182" s="115" t="s">
        <v>1634</v>
      </c>
      <c r="BL182" s="115" t="s">
        <v>1634</v>
      </c>
      <c r="BM182" s="115" t="s">
        <v>1634</v>
      </c>
      <c r="BN182" s="115" t="s">
        <v>1634</v>
      </c>
      <c r="BO182" s="2"/>
      <c r="BP182" s="3"/>
      <c r="BQ182" s="3"/>
      <c r="BR182" s="3"/>
      <c r="BS182" s="3"/>
    </row>
    <row r="183" spans="1:71" ht="15">
      <c r="A183" s="90" t="s">
        <v>402</v>
      </c>
      <c r="B183" s="91"/>
      <c r="C183" s="91"/>
      <c r="D183" s="92">
        <v>150</v>
      </c>
      <c r="E183" s="93"/>
      <c r="F183" s="104" t="str">
        <f>HYPERLINK("https://yt3.ggpht.com/ytc/AOPolaToGkq9MK7lEZlGLqAfcwwOIXSCUW4ucgplpFpvFA=s88-c-k-c0x00ffffff-no-rj")</f>
        <v>https://yt3.ggpht.com/ytc/AOPolaToGkq9MK7lEZlGLqAfcwwOIXSCUW4ucgplpFpvFA=s88-c-k-c0x00ffffff-no-rj</v>
      </c>
      <c r="G183" s="91"/>
      <c r="H183" s="94" t="s">
        <v>804</v>
      </c>
      <c r="I183" s="95"/>
      <c r="J183" s="95" t="s">
        <v>159</v>
      </c>
      <c r="K183" s="94" t="s">
        <v>804</v>
      </c>
      <c r="L183" s="96">
        <v>1</v>
      </c>
      <c r="M183" s="97">
        <v>6072.2431640625</v>
      </c>
      <c r="N183" s="97">
        <v>8691.6591796875</v>
      </c>
      <c r="O183" s="98"/>
      <c r="P183" s="99"/>
      <c r="Q183" s="99"/>
      <c r="R183" s="100"/>
      <c r="S183" s="49">
        <v>1</v>
      </c>
      <c r="T183" s="49">
        <v>1</v>
      </c>
      <c r="U183" s="50">
        <v>0</v>
      </c>
      <c r="V183" s="50">
        <v>0</v>
      </c>
      <c r="W183" s="50">
        <v>0</v>
      </c>
      <c r="X183" s="50">
        <v>0.005525</v>
      </c>
      <c r="Y183" s="50">
        <v>0</v>
      </c>
      <c r="Z183" s="50">
        <v>0</v>
      </c>
      <c r="AA183" s="101">
        <v>183</v>
      </c>
      <c r="AB183" s="101"/>
      <c r="AC183" s="102"/>
      <c r="AD183" s="81" t="s">
        <v>804</v>
      </c>
      <c r="AE183" s="81" t="s">
        <v>875</v>
      </c>
      <c r="AF183" s="81"/>
      <c r="AG183" s="81"/>
      <c r="AH183" s="81"/>
      <c r="AI183" s="81" t="s">
        <v>1055</v>
      </c>
      <c r="AJ183" s="85">
        <v>40131.034895833334</v>
      </c>
      <c r="AK183" s="83" t="str">
        <f>HYPERLINK("https://yt3.ggpht.com/ytc/AOPolaToGkq9MK7lEZlGLqAfcwwOIXSCUW4ucgplpFpvFA=s88-c-k-c0x00ffffff-no-rj")</f>
        <v>https://yt3.ggpht.com/ytc/AOPolaToGkq9MK7lEZlGLqAfcwwOIXSCUW4ucgplpFpvFA=s88-c-k-c0x00ffffff-no-rj</v>
      </c>
      <c r="AL183" s="81">
        <v>8443494</v>
      </c>
      <c r="AM183" s="81">
        <v>0</v>
      </c>
      <c r="AN183" s="81">
        <v>14900</v>
      </c>
      <c r="AO183" s="81" t="b">
        <v>0</v>
      </c>
      <c r="AP183" s="81">
        <v>501</v>
      </c>
      <c r="AQ183" s="81"/>
      <c r="AR183" s="81"/>
      <c r="AS183" s="81" t="s">
        <v>1057</v>
      </c>
      <c r="AT183" s="83" t="str">
        <f>HYPERLINK("https://www.youtube.com/channel/UCNPwHixBIfM2rtdL5AB0pLQ")</f>
        <v>https://www.youtube.com/channel/UCNPwHixBIfM2rtdL5AB0pLQ</v>
      </c>
      <c r="AU183" s="81">
        <v>2</v>
      </c>
      <c r="AV183" s="49"/>
      <c r="AW183" s="50"/>
      <c r="AX183" s="49"/>
      <c r="AY183" s="50"/>
      <c r="AZ183" s="49"/>
      <c r="BA183" s="50"/>
      <c r="BB183" s="49"/>
      <c r="BC183" s="50"/>
      <c r="BD183" s="49"/>
      <c r="BE183" s="49"/>
      <c r="BF183" s="49"/>
      <c r="BG183" s="49"/>
      <c r="BH183" s="49"/>
      <c r="BI183" s="49"/>
      <c r="BJ183" s="49"/>
      <c r="BK183" s="115" t="s">
        <v>1634</v>
      </c>
      <c r="BL183" s="115" t="s">
        <v>1634</v>
      </c>
      <c r="BM183" s="115" t="s">
        <v>1634</v>
      </c>
      <c r="BN183" s="115" t="s">
        <v>1634</v>
      </c>
      <c r="BO183" s="2"/>
      <c r="BP183" s="3"/>
      <c r="BQ183" s="3"/>
      <c r="BR183" s="3"/>
      <c r="BS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5"/>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1540</v>
      </c>
      <c r="AH2" s="13" t="s">
        <v>1597</v>
      </c>
      <c r="AI2" s="13" t="s">
        <v>1609</v>
      </c>
      <c r="AJ2" s="13" t="s">
        <v>1621</v>
      </c>
      <c r="AK2" s="13" t="s">
        <v>1633</v>
      </c>
      <c r="AL2" s="13" t="s">
        <v>1674</v>
      </c>
    </row>
    <row r="3" spans="1:38" ht="15">
      <c r="A3" s="66" t="s">
        <v>1319</v>
      </c>
      <c r="B3" s="67" t="s">
        <v>1332</v>
      </c>
      <c r="C3" s="67" t="s">
        <v>56</v>
      </c>
      <c r="D3" s="106"/>
      <c r="E3" s="14"/>
      <c r="F3" s="15" t="s">
        <v>1785</v>
      </c>
      <c r="G3" s="64"/>
      <c r="H3" s="64"/>
      <c r="I3" s="107">
        <v>3</v>
      </c>
      <c r="J3" s="51"/>
      <c r="K3" s="49">
        <v>93</v>
      </c>
      <c r="L3" s="49">
        <v>93</v>
      </c>
      <c r="M3" s="49">
        <v>0</v>
      </c>
      <c r="N3" s="49">
        <v>93</v>
      </c>
      <c r="O3" s="49">
        <v>1</v>
      </c>
      <c r="P3" s="50">
        <v>0</v>
      </c>
      <c r="Q3" s="50">
        <v>0</v>
      </c>
      <c r="R3" s="49">
        <v>1</v>
      </c>
      <c r="S3" s="49">
        <v>0</v>
      </c>
      <c r="T3" s="49">
        <v>93</v>
      </c>
      <c r="U3" s="49">
        <v>93</v>
      </c>
      <c r="V3" s="49">
        <v>2</v>
      </c>
      <c r="W3" s="50">
        <v>1.95722</v>
      </c>
      <c r="X3" s="50">
        <v>0.010752688172043012</v>
      </c>
      <c r="Y3" s="49">
        <v>150</v>
      </c>
      <c r="Z3" s="50">
        <v>7.012622720897616</v>
      </c>
      <c r="AA3" s="49">
        <v>29</v>
      </c>
      <c r="AB3" s="50">
        <v>1.3557737260402056</v>
      </c>
      <c r="AC3" s="49">
        <v>0</v>
      </c>
      <c r="AD3" s="50">
        <v>0</v>
      </c>
      <c r="AE3" s="49">
        <v>679</v>
      </c>
      <c r="AF3" s="50">
        <v>31.74380551659654</v>
      </c>
      <c r="AG3" s="49">
        <v>2139</v>
      </c>
      <c r="AH3" s="81" t="s">
        <v>1575</v>
      </c>
      <c r="AI3" s="81" t="s">
        <v>740</v>
      </c>
      <c r="AJ3" s="81"/>
      <c r="AK3" s="87" t="s">
        <v>1794</v>
      </c>
      <c r="AL3" s="87" t="s">
        <v>1675</v>
      </c>
    </row>
    <row r="4" spans="1:38" ht="15">
      <c r="A4" s="66" t="s">
        <v>1320</v>
      </c>
      <c r="B4" s="67" t="s">
        <v>1333</v>
      </c>
      <c r="C4" s="67" t="s">
        <v>56</v>
      </c>
      <c r="D4" s="106"/>
      <c r="E4" s="14"/>
      <c r="F4" s="15" t="s">
        <v>1320</v>
      </c>
      <c r="G4" s="64"/>
      <c r="H4" s="64"/>
      <c r="I4" s="107">
        <v>4</v>
      </c>
      <c r="J4" s="79"/>
      <c r="K4" s="49">
        <v>29</v>
      </c>
      <c r="L4" s="49">
        <v>29</v>
      </c>
      <c r="M4" s="49">
        <v>0</v>
      </c>
      <c r="N4" s="49">
        <v>29</v>
      </c>
      <c r="O4" s="49">
        <v>29</v>
      </c>
      <c r="P4" s="50" t="s">
        <v>1344</v>
      </c>
      <c r="Q4" s="50" t="s">
        <v>1344</v>
      </c>
      <c r="R4" s="49">
        <v>29</v>
      </c>
      <c r="S4" s="49">
        <v>29</v>
      </c>
      <c r="T4" s="49">
        <v>1</v>
      </c>
      <c r="U4" s="49">
        <v>1</v>
      </c>
      <c r="V4" s="49">
        <v>0</v>
      </c>
      <c r="W4" s="50">
        <v>0</v>
      </c>
      <c r="X4" s="50">
        <v>0</v>
      </c>
      <c r="Y4" s="49">
        <v>0</v>
      </c>
      <c r="Z4" s="50">
        <v>0</v>
      </c>
      <c r="AA4" s="49">
        <v>0</v>
      </c>
      <c r="AB4" s="50">
        <v>0</v>
      </c>
      <c r="AC4" s="49">
        <v>0</v>
      </c>
      <c r="AD4" s="50">
        <v>0</v>
      </c>
      <c r="AE4" s="49">
        <v>0</v>
      </c>
      <c r="AF4" s="50">
        <v>0</v>
      </c>
      <c r="AG4" s="49">
        <v>0</v>
      </c>
      <c r="AH4" s="81"/>
      <c r="AI4" s="81"/>
      <c r="AJ4" s="81"/>
      <c r="AK4" s="87" t="s">
        <v>1634</v>
      </c>
      <c r="AL4" s="87" t="s">
        <v>1634</v>
      </c>
    </row>
    <row r="5" spans="1:38" ht="15">
      <c r="A5" s="66" t="s">
        <v>1321</v>
      </c>
      <c r="B5" s="67" t="s">
        <v>1334</v>
      </c>
      <c r="C5" s="67" t="s">
        <v>56</v>
      </c>
      <c r="D5" s="106"/>
      <c r="E5" s="14"/>
      <c r="F5" s="15" t="s">
        <v>1786</v>
      </c>
      <c r="G5" s="64"/>
      <c r="H5" s="64"/>
      <c r="I5" s="107">
        <v>5</v>
      </c>
      <c r="J5" s="79"/>
      <c r="K5" s="49">
        <v>23</v>
      </c>
      <c r="L5" s="49">
        <v>23</v>
      </c>
      <c r="M5" s="49">
        <v>0</v>
      </c>
      <c r="N5" s="49">
        <v>23</v>
      </c>
      <c r="O5" s="49">
        <v>1</v>
      </c>
      <c r="P5" s="50">
        <v>0</v>
      </c>
      <c r="Q5" s="50">
        <v>0</v>
      </c>
      <c r="R5" s="49">
        <v>1</v>
      </c>
      <c r="S5" s="49">
        <v>0</v>
      </c>
      <c r="T5" s="49">
        <v>23</v>
      </c>
      <c r="U5" s="49">
        <v>23</v>
      </c>
      <c r="V5" s="49">
        <v>2</v>
      </c>
      <c r="W5" s="50">
        <v>1.829868</v>
      </c>
      <c r="X5" s="50">
        <v>0.043478260869565216</v>
      </c>
      <c r="Y5" s="49">
        <v>9</v>
      </c>
      <c r="Z5" s="50">
        <v>2.050113895216401</v>
      </c>
      <c r="AA5" s="49">
        <v>28</v>
      </c>
      <c r="AB5" s="50">
        <v>6.378132118451025</v>
      </c>
      <c r="AC5" s="49">
        <v>0</v>
      </c>
      <c r="AD5" s="50">
        <v>0</v>
      </c>
      <c r="AE5" s="49">
        <v>151</v>
      </c>
      <c r="AF5" s="50">
        <v>34.39635535307517</v>
      </c>
      <c r="AG5" s="49">
        <v>439</v>
      </c>
      <c r="AH5" s="81"/>
      <c r="AI5" s="81"/>
      <c r="AJ5" s="81"/>
      <c r="AK5" s="87" t="s">
        <v>1795</v>
      </c>
      <c r="AL5" s="87" t="s">
        <v>1676</v>
      </c>
    </row>
    <row r="6" spans="1:38" ht="15">
      <c r="A6" s="66" t="s">
        <v>1322</v>
      </c>
      <c r="B6" s="67" t="s">
        <v>1335</v>
      </c>
      <c r="C6" s="67" t="s">
        <v>56</v>
      </c>
      <c r="D6" s="106"/>
      <c r="E6" s="14"/>
      <c r="F6" s="15" t="s">
        <v>1322</v>
      </c>
      <c r="G6" s="64"/>
      <c r="H6" s="64"/>
      <c r="I6" s="107">
        <v>6</v>
      </c>
      <c r="J6" s="79"/>
      <c r="K6" s="49">
        <v>7</v>
      </c>
      <c r="L6" s="49">
        <v>7</v>
      </c>
      <c r="M6" s="49">
        <v>0</v>
      </c>
      <c r="N6" s="49">
        <v>7</v>
      </c>
      <c r="O6" s="49">
        <v>1</v>
      </c>
      <c r="P6" s="50">
        <v>0</v>
      </c>
      <c r="Q6" s="50">
        <v>0</v>
      </c>
      <c r="R6" s="49">
        <v>1</v>
      </c>
      <c r="S6" s="49">
        <v>0</v>
      </c>
      <c r="T6" s="49">
        <v>7</v>
      </c>
      <c r="U6" s="49">
        <v>7</v>
      </c>
      <c r="V6" s="49">
        <v>2</v>
      </c>
      <c r="W6" s="50">
        <v>1.469388</v>
      </c>
      <c r="X6" s="50">
        <v>0.14285714285714285</v>
      </c>
      <c r="Y6" s="49">
        <v>6</v>
      </c>
      <c r="Z6" s="50">
        <v>7.228915662650603</v>
      </c>
      <c r="AA6" s="49">
        <v>2</v>
      </c>
      <c r="AB6" s="50">
        <v>2.4096385542168677</v>
      </c>
      <c r="AC6" s="49">
        <v>0</v>
      </c>
      <c r="AD6" s="50">
        <v>0</v>
      </c>
      <c r="AE6" s="49">
        <v>27</v>
      </c>
      <c r="AF6" s="50">
        <v>32.53012048192771</v>
      </c>
      <c r="AG6" s="49">
        <v>83</v>
      </c>
      <c r="AH6" s="81"/>
      <c r="AI6" s="81"/>
      <c r="AJ6" s="81"/>
      <c r="AK6" s="87" t="s">
        <v>1634</v>
      </c>
      <c r="AL6" s="87" t="s">
        <v>1634</v>
      </c>
    </row>
    <row r="7" spans="1:38" ht="15">
      <c r="A7" s="66" t="s">
        <v>1323</v>
      </c>
      <c r="B7" s="67" t="s">
        <v>1336</v>
      </c>
      <c r="C7" s="67" t="s">
        <v>56</v>
      </c>
      <c r="D7" s="106"/>
      <c r="E7" s="14"/>
      <c r="F7" s="15" t="s">
        <v>1787</v>
      </c>
      <c r="G7" s="64"/>
      <c r="H7" s="64"/>
      <c r="I7" s="107">
        <v>7</v>
      </c>
      <c r="J7" s="79"/>
      <c r="K7" s="49">
        <v>6</v>
      </c>
      <c r="L7" s="49">
        <v>6</v>
      </c>
      <c r="M7" s="49">
        <v>0</v>
      </c>
      <c r="N7" s="49">
        <v>6</v>
      </c>
      <c r="O7" s="49">
        <v>1</v>
      </c>
      <c r="P7" s="50">
        <v>0</v>
      </c>
      <c r="Q7" s="50">
        <v>0</v>
      </c>
      <c r="R7" s="49">
        <v>1</v>
      </c>
      <c r="S7" s="49">
        <v>0</v>
      </c>
      <c r="T7" s="49">
        <v>6</v>
      </c>
      <c r="U7" s="49">
        <v>6</v>
      </c>
      <c r="V7" s="49">
        <v>2</v>
      </c>
      <c r="W7" s="50">
        <v>1.388889</v>
      </c>
      <c r="X7" s="50">
        <v>0.16666666666666666</v>
      </c>
      <c r="Y7" s="49">
        <v>5</v>
      </c>
      <c r="Z7" s="50">
        <v>5.747126436781609</v>
      </c>
      <c r="AA7" s="49">
        <v>1</v>
      </c>
      <c r="AB7" s="50">
        <v>1.1494252873563218</v>
      </c>
      <c r="AC7" s="49">
        <v>0</v>
      </c>
      <c r="AD7" s="50">
        <v>0</v>
      </c>
      <c r="AE7" s="49">
        <v>32</v>
      </c>
      <c r="AF7" s="50">
        <v>36.7816091954023</v>
      </c>
      <c r="AG7" s="49">
        <v>87</v>
      </c>
      <c r="AH7" s="81"/>
      <c r="AI7" s="81"/>
      <c r="AJ7" s="81"/>
      <c r="AK7" s="87" t="s">
        <v>1635</v>
      </c>
      <c r="AL7" s="87" t="s">
        <v>1634</v>
      </c>
    </row>
    <row r="8" spans="1:38" ht="15">
      <c r="A8" s="66" t="s">
        <v>1324</v>
      </c>
      <c r="B8" s="67" t="s">
        <v>1337</v>
      </c>
      <c r="C8" s="67" t="s">
        <v>56</v>
      </c>
      <c r="D8" s="106"/>
      <c r="E8" s="14"/>
      <c r="F8" s="15" t="s">
        <v>1788</v>
      </c>
      <c r="G8" s="64"/>
      <c r="H8" s="64"/>
      <c r="I8" s="107">
        <v>8</v>
      </c>
      <c r="J8" s="79"/>
      <c r="K8" s="49">
        <v>5</v>
      </c>
      <c r="L8" s="49">
        <v>5</v>
      </c>
      <c r="M8" s="49">
        <v>0</v>
      </c>
      <c r="N8" s="49">
        <v>5</v>
      </c>
      <c r="O8" s="49">
        <v>1</v>
      </c>
      <c r="P8" s="50">
        <v>0</v>
      </c>
      <c r="Q8" s="50">
        <v>0</v>
      </c>
      <c r="R8" s="49">
        <v>1</v>
      </c>
      <c r="S8" s="49">
        <v>0</v>
      </c>
      <c r="T8" s="49">
        <v>5</v>
      </c>
      <c r="U8" s="49">
        <v>5</v>
      </c>
      <c r="V8" s="49">
        <v>2</v>
      </c>
      <c r="W8" s="50">
        <v>1.28</v>
      </c>
      <c r="X8" s="50">
        <v>0.2</v>
      </c>
      <c r="Y8" s="49">
        <v>3</v>
      </c>
      <c r="Z8" s="50">
        <v>3.0303030303030303</v>
      </c>
      <c r="AA8" s="49">
        <v>0</v>
      </c>
      <c r="AB8" s="50">
        <v>0</v>
      </c>
      <c r="AC8" s="49">
        <v>0</v>
      </c>
      <c r="AD8" s="50">
        <v>0</v>
      </c>
      <c r="AE8" s="49">
        <v>43</v>
      </c>
      <c r="AF8" s="50">
        <v>43.43434343434343</v>
      </c>
      <c r="AG8" s="49">
        <v>99</v>
      </c>
      <c r="AH8" s="81" t="s">
        <v>1574</v>
      </c>
      <c r="AI8" s="81" t="s">
        <v>1058</v>
      </c>
      <c r="AJ8" s="81"/>
      <c r="AK8" s="87" t="s">
        <v>1636</v>
      </c>
      <c r="AL8" s="87" t="s">
        <v>1677</v>
      </c>
    </row>
    <row r="9" spans="1:38" ht="15">
      <c r="A9" s="66" t="s">
        <v>1325</v>
      </c>
      <c r="B9" s="67" t="s">
        <v>1338</v>
      </c>
      <c r="C9" s="67" t="s">
        <v>56</v>
      </c>
      <c r="D9" s="106"/>
      <c r="E9" s="14"/>
      <c r="F9" s="15" t="s">
        <v>1789</v>
      </c>
      <c r="G9" s="64"/>
      <c r="H9" s="64"/>
      <c r="I9" s="107">
        <v>9</v>
      </c>
      <c r="J9" s="79"/>
      <c r="K9" s="49">
        <v>4</v>
      </c>
      <c r="L9" s="49">
        <v>4</v>
      </c>
      <c r="M9" s="49">
        <v>0</v>
      </c>
      <c r="N9" s="49">
        <v>4</v>
      </c>
      <c r="O9" s="49">
        <v>1</v>
      </c>
      <c r="P9" s="50">
        <v>0</v>
      </c>
      <c r="Q9" s="50">
        <v>0</v>
      </c>
      <c r="R9" s="49">
        <v>1</v>
      </c>
      <c r="S9" s="49">
        <v>0</v>
      </c>
      <c r="T9" s="49">
        <v>4</v>
      </c>
      <c r="U9" s="49">
        <v>4</v>
      </c>
      <c r="V9" s="49">
        <v>2</v>
      </c>
      <c r="W9" s="50">
        <v>1.125</v>
      </c>
      <c r="X9" s="50">
        <v>0.25</v>
      </c>
      <c r="Y9" s="49">
        <v>5</v>
      </c>
      <c r="Z9" s="50">
        <v>15.625</v>
      </c>
      <c r="AA9" s="49">
        <v>0</v>
      </c>
      <c r="AB9" s="50">
        <v>0</v>
      </c>
      <c r="AC9" s="49">
        <v>0</v>
      </c>
      <c r="AD9" s="50">
        <v>0</v>
      </c>
      <c r="AE9" s="49">
        <v>11</v>
      </c>
      <c r="AF9" s="50">
        <v>34.375</v>
      </c>
      <c r="AG9" s="49">
        <v>32</v>
      </c>
      <c r="AH9" s="81" t="s">
        <v>1573</v>
      </c>
      <c r="AI9" s="81" t="s">
        <v>1059</v>
      </c>
      <c r="AJ9" s="81"/>
      <c r="AK9" s="87" t="s">
        <v>1637</v>
      </c>
      <c r="AL9" s="87" t="s">
        <v>1634</v>
      </c>
    </row>
    <row r="10" spans="1:38" ht="14.25" customHeight="1">
      <c r="A10" s="66" t="s">
        <v>1326</v>
      </c>
      <c r="B10" s="67" t="s">
        <v>1339</v>
      </c>
      <c r="C10" s="67" t="s">
        <v>56</v>
      </c>
      <c r="D10" s="106"/>
      <c r="E10" s="14"/>
      <c r="F10" s="15" t="s">
        <v>1326</v>
      </c>
      <c r="G10" s="64"/>
      <c r="H10" s="64"/>
      <c r="I10" s="107">
        <v>10</v>
      </c>
      <c r="J10" s="79"/>
      <c r="K10" s="49">
        <v>3</v>
      </c>
      <c r="L10" s="49">
        <v>3</v>
      </c>
      <c r="M10" s="49">
        <v>0</v>
      </c>
      <c r="N10" s="49">
        <v>3</v>
      </c>
      <c r="O10" s="49">
        <v>1</v>
      </c>
      <c r="P10" s="50">
        <v>0</v>
      </c>
      <c r="Q10" s="50">
        <v>0</v>
      </c>
      <c r="R10" s="49">
        <v>1</v>
      </c>
      <c r="S10" s="49">
        <v>0</v>
      </c>
      <c r="T10" s="49">
        <v>3</v>
      </c>
      <c r="U10" s="49">
        <v>3</v>
      </c>
      <c r="V10" s="49">
        <v>2</v>
      </c>
      <c r="W10" s="50">
        <v>0.888889</v>
      </c>
      <c r="X10" s="50">
        <v>0.3333333333333333</v>
      </c>
      <c r="Y10" s="49">
        <v>2</v>
      </c>
      <c r="Z10" s="50">
        <v>13.333333333333334</v>
      </c>
      <c r="AA10" s="49">
        <v>0</v>
      </c>
      <c r="AB10" s="50">
        <v>0</v>
      </c>
      <c r="AC10" s="49">
        <v>0</v>
      </c>
      <c r="AD10" s="50">
        <v>0</v>
      </c>
      <c r="AE10" s="49">
        <v>1</v>
      </c>
      <c r="AF10" s="50">
        <v>6.666666666666667</v>
      </c>
      <c r="AG10" s="49">
        <v>15</v>
      </c>
      <c r="AH10" s="81"/>
      <c r="AI10" s="81"/>
      <c r="AJ10" s="81"/>
      <c r="AK10" s="87" t="s">
        <v>1634</v>
      </c>
      <c r="AL10" s="87" t="s">
        <v>1634</v>
      </c>
    </row>
    <row r="11" spans="1:38" ht="15">
      <c r="A11" s="66" t="s">
        <v>1327</v>
      </c>
      <c r="B11" s="67" t="s">
        <v>1340</v>
      </c>
      <c r="C11" s="67" t="s">
        <v>56</v>
      </c>
      <c r="D11" s="106"/>
      <c r="E11" s="14"/>
      <c r="F11" s="15" t="s">
        <v>1327</v>
      </c>
      <c r="G11" s="64"/>
      <c r="H11" s="64"/>
      <c r="I11" s="107">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25</v>
      </c>
      <c r="AA11" s="49">
        <v>0</v>
      </c>
      <c r="AB11" s="50">
        <v>0</v>
      </c>
      <c r="AC11" s="49">
        <v>0</v>
      </c>
      <c r="AD11" s="50">
        <v>0</v>
      </c>
      <c r="AE11" s="49">
        <v>4</v>
      </c>
      <c r="AF11" s="50">
        <v>50</v>
      </c>
      <c r="AG11" s="49">
        <v>8</v>
      </c>
      <c r="AH11" s="81"/>
      <c r="AI11" s="81"/>
      <c r="AJ11" s="81"/>
      <c r="AK11" s="87" t="s">
        <v>1634</v>
      </c>
      <c r="AL11" s="87" t="s">
        <v>1634</v>
      </c>
    </row>
    <row r="12" spans="1:38" ht="15">
      <c r="A12" s="66" t="s">
        <v>1328</v>
      </c>
      <c r="B12" s="67" t="s">
        <v>1341</v>
      </c>
      <c r="C12" s="67" t="s">
        <v>56</v>
      </c>
      <c r="D12" s="106"/>
      <c r="E12" s="14"/>
      <c r="F12" s="15" t="s">
        <v>1328</v>
      </c>
      <c r="G12" s="64"/>
      <c r="H12" s="64"/>
      <c r="I12" s="107">
        <v>12</v>
      </c>
      <c r="J12" s="79"/>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6</v>
      </c>
      <c r="AF12" s="50">
        <v>35.294117647058826</v>
      </c>
      <c r="AG12" s="49">
        <v>17</v>
      </c>
      <c r="AH12" s="81"/>
      <c r="AI12" s="81"/>
      <c r="AJ12" s="81"/>
      <c r="AK12" s="87" t="s">
        <v>1634</v>
      </c>
      <c r="AL12" s="87" t="s">
        <v>1634</v>
      </c>
    </row>
    <row r="13" spans="1:38" ht="15">
      <c r="A13" s="66" t="s">
        <v>1329</v>
      </c>
      <c r="B13" s="67" t="s">
        <v>1342</v>
      </c>
      <c r="C13" s="67" t="s">
        <v>56</v>
      </c>
      <c r="D13" s="106"/>
      <c r="E13" s="14"/>
      <c r="F13" s="15" t="s">
        <v>1329</v>
      </c>
      <c r="G13" s="64"/>
      <c r="H13" s="64"/>
      <c r="I13" s="107">
        <v>13</v>
      </c>
      <c r="J13" s="79"/>
      <c r="K13" s="49">
        <v>2</v>
      </c>
      <c r="L13" s="49">
        <v>2</v>
      </c>
      <c r="M13" s="49">
        <v>0</v>
      </c>
      <c r="N13" s="49">
        <v>2</v>
      </c>
      <c r="O13" s="49">
        <v>1</v>
      </c>
      <c r="P13" s="50">
        <v>0</v>
      </c>
      <c r="Q13" s="50">
        <v>0</v>
      </c>
      <c r="R13" s="49">
        <v>1</v>
      </c>
      <c r="S13" s="49">
        <v>0</v>
      </c>
      <c r="T13" s="49">
        <v>2</v>
      </c>
      <c r="U13" s="49">
        <v>2</v>
      </c>
      <c r="V13" s="49">
        <v>1</v>
      </c>
      <c r="W13" s="50">
        <v>0.5</v>
      </c>
      <c r="X13" s="50">
        <v>0.5</v>
      </c>
      <c r="Y13" s="49">
        <v>1</v>
      </c>
      <c r="Z13" s="50">
        <v>20</v>
      </c>
      <c r="AA13" s="49">
        <v>0</v>
      </c>
      <c r="AB13" s="50">
        <v>0</v>
      </c>
      <c r="AC13" s="49">
        <v>0</v>
      </c>
      <c r="AD13" s="50">
        <v>0</v>
      </c>
      <c r="AE13" s="49">
        <v>2</v>
      </c>
      <c r="AF13" s="50">
        <v>40</v>
      </c>
      <c r="AG13" s="49">
        <v>5</v>
      </c>
      <c r="AH13" s="81"/>
      <c r="AI13" s="81"/>
      <c r="AJ13" s="81"/>
      <c r="AK13" s="87" t="s">
        <v>1634</v>
      </c>
      <c r="AL13" s="87" t="s">
        <v>1634</v>
      </c>
    </row>
    <row r="14" spans="1:38" ht="15">
      <c r="A14" s="66" t="s">
        <v>1330</v>
      </c>
      <c r="B14" s="67" t="s">
        <v>1343</v>
      </c>
      <c r="C14" s="67" t="s">
        <v>56</v>
      </c>
      <c r="D14" s="106"/>
      <c r="E14" s="14"/>
      <c r="F14" s="15" t="s">
        <v>1330</v>
      </c>
      <c r="G14" s="64"/>
      <c r="H14" s="64"/>
      <c r="I14" s="107">
        <v>14</v>
      </c>
      <c r="J14" s="79"/>
      <c r="K14" s="49">
        <v>2</v>
      </c>
      <c r="L14" s="49">
        <v>2</v>
      </c>
      <c r="M14" s="49">
        <v>0</v>
      </c>
      <c r="N14" s="49">
        <v>2</v>
      </c>
      <c r="O14" s="49">
        <v>1</v>
      </c>
      <c r="P14" s="50">
        <v>0</v>
      </c>
      <c r="Q14" s="50">
        <v>0</v>
      </c>
      <c r="R14" s="49">
        <v>1</v>
      </c>
      <c r="S14" s="49">
        <v>0</v>
      </c>
      <c r="T14" s="49">
        <v>2</v>
      </c>
      <c r="U14" s="49">
        <v>2</v>
      </c>
      <c r="V14" s="49">
        <v>1</v>
      </c>
      <c r="W14" s="50">
        <v>0.5</v>
      </c>
      <c r="X14" s="50">
        <v>0.5</v>
      </c>
      <c r="Y14" s="49">
        <v>1</v>
      </c>
      <c r="Z14" s="50">
        <v>14.285714285714286</v>
      </c>
      <c r="AA14" s="49">
        <v>0</v>
      </c>
      <c r="AB14" s="50">
        <v>0</v>
      </c>
      <c r="AC14" s="49">
        <v>0</v>
      </c>
      <c r="AD14" s="50">
        <v>0</v>
      </c>
      <c r="AE14" s="49">
        <v>2</v>
      </c>
      <c r="AF14" s="50">
        <v>28.571428571428573</v>
      </c>
      <c r="AG14" s="49">
        <v>7</v>
      </c>
      <c r="AH14" s="81"/>
      <c r="AI14" s="81"/>
      <c r="AJ14" s="81"/>
      <c r="AK14" s="87" t="s">
        <v>1634</v>
      </c>
      <c r="AL14" s="87" t="s">
        <v>1634</v>
      </c>
    </row>
    <row r="15" spans="1:38" ht="15">
      <c r="A15" s="66" t="s">
        <v>1331</v>
      </c>
      <c r="B15" s="67" t="s">
        <v>1332</v>
      </c>
      <c r="C15" s="67" t="s">
        <v>59</v>
      </c>
      <c r="D15" s="106"/>
      <c r="E15" s="14"/>
      <c r="F15" s="15" t="s">
        <v>1790</v>
      </c>
      <c r="G15" s="64"/>
      <c r="H15" s="64"/>
      <c r="I15" s="107">
        <v>15</v>
      </c>
      <c r="J15" s="79"/>
      <c r="K15" s="49">
        <v>2</v>
      </c>
      <c r="L15" s="49">
        <v>2</v>
      </c>
      <c r="M15" s="49">
        <v>0</v>
      </c>
      <c r="N15" s="49">
        <v>2</v>
      </c>
      <c r="O15" s="49">
        <v>1</v>
      </c>
      <c r="P15" s="50">
        <v>0</v>
      </c>
      <c r="Q15" s="50">
        <v>0</v>
      </c>
      <c r="R15" s="49">
        <v>1</v>
      </c>
      <c r="S15" s="49">
        <v>0</v>
      </c>
      <c r="T15" s="49">
        <v>2</v>
      </c>
      <c r="U15" s="49">
        <v>2</v>
      </c>
      <c r="V15" s="49">
        <v>1</v>
      </c>
      <c r="W15" s="50">
        <v>0.5</v>
      </c>
      <c r="X15" s="50">
        <v>0.5</v>
      </c>
      <c r="Y15" s="49">
        <v>1</v>
      </c>
      <c r="Z15" s="50">
        <v>2.5641025641025643</v>
      </c>
      <c r="AA15" s="49">
        <v>0</v>
      </c>
      <c r="AB15" s="50">
        <v>0</v>
      </c>
      <c r="AC15" s="49">
        <v>0</v>
      </c>
      <c r="AD15" s="50">
        <v>0</v>
      </c>
      <c r="AE15" s="49">
        <v>15</v>
      </c>
      <c r="AF15" s="50">
        <v>38.46153846153846</v>
      </c>
      <c r="AG15" s="49">
        <v>39</v>
      </c>
      <c r="AH15" s="81"/>
      <c r="AI15" s="81"/>
      <c r="AJ15" s="81"/>
      <c r="AK15" s="87" t="s">
        <v>1638</v>
      </c>
      <c r="AL15" s="87" t="s">
        <v>1634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1319</v>
      </c>
      <c r="B2" s="87" t="s">
        <v>373</v>
      </c>
      <c r="C2" s="81">
        <f>VLOOKUP(GroupVertices[[#This Row],[Vertex]],Vertices[],MATCH("ID",Vertices[[#Headers],[Vertex]:[Top Word Pairs in Comment by Salience]],0),FALSE)</f>
        <v>154</v>
      </c>
    </row>
    <row r="3" spans="1:3" ht="15">
      <c r="A3" s="82" t="s">
        <v>1319</v>
      </c>
      <c r="B3" s="87" t="s">
        <v>372</v>
      </c>
      <c r="C3" s="81">
        <f>VLOOKUP(GroupVertices[[#This Row],[Vertex]],Vertices[],MATCH("ID",Vertices[[#Headers],[Vertex]:[Top Word Pairs in Comment by Salience]],0),FALSE)</f>
        <v>3</v>
      </c>
    </row>
    <row r="4" spans="1:3" ht="15">
      <c r="A4" s="82" t="s">
        <v>1319</v>
      </c>
      <c r="B4" s="87" t="s">
        <v>371</v>
      </c>
      <c r="C4" s="81">
        <f>VLOOKUP(GroupVertices[[#This Row],[Vertex]],Vertices[],MATCH("ID",Vertices[[#Headers],[Vertex]:[Top Word Pairs in Comment by Salience]],0),FALSE)</f>
        <v>153</v>
      </c>
    </row>
    <row r="5" spans="1:3" ht="15">
      <c r="A5" s="82" t="s">
        <v>1319</v>
      </c>
      <c r="B5" s="87" t="s">
        <v>370</v>
      </c>
      <c r="C5" s="81">
        <f>VLOOKUP(GroupVertices[[#This Row],[Vertex]],Vertices[],MATCH("ID",Vertices[[#Headers],[Vertex]:[Top Word Pairs in Comment by Salience]],0),FALSE)</f>
        <v>152</v>
      </c>
    </row>
    <row r="6" spans="1:3" ht="15">
      <c r="A6" s="82" t="s">
        <v>1319</v>
      </c>
      <c r="B6" s="87" t="s">
        <v>369</v>
      </c>
      <c r="C6" s="81">
        <f>VLOOKUP(GroupVertices[[#This Row],[Vertex]],Vertices[],MATCH("ID",Vertices[[#Headers],[Vertex]:[Top Word Pairs in Comment by Salience]],0),FALSE)</f>
        <v>151</v>
      </c>
    </row>
    <row r="7" spans="1:3" ht="15">
      <c r="A7" s="82" t="s">
        <v>1319</v>
      </c>
      <c r="B7" s="87" t="s">
        <v>368</v>
      </c>
      <c r="C7" s="81">
        <f>VLOOKUP(GroupVertices[[#This Row],[Vertex]],Vertices[],MATCH("ID",Vertices[[#Headers],[Vertex]:[Top Word Pairs in Comment by Salience]],0),FALSE)</f>
        <v>150</v>
      </c>
    </row>
    <row r="8" spans="1:3" ht="15">
      <c r="A8" s="82" t="s">
        <v>1319</v>
      </c>
      <c r="B8" s="87" t="s">
        <v>367</v>
      </c>
      <c r="C8" s="81">
        <f>VLOOKUP(GroupVertices[[#This Row],[Vertex]],Vertices[],MATCH("ID",Vertices[[#Headers],[Vertex]:[Top Word Pairs in Comment by Salience]],0),FALSE)</f>
        <v>149</v>
      </c>
    </row>
    <row r="9" spans="1:3" ht="15">
      <c r="A9" s="82" t="s">
        <v>1319</v>
      </c>
      <c r="B9" s="87" t="s">
        <v>366</v>
      </c>
      <c r="C9" s="81">
        <f>VLOOKUP(GroupVertices[[#This Row],[Vertex]],Vertices[],MATCH("ID",Vertices[[#Headers],[Vertex]:[Top Word Pairs in Comment by Salience]],0),FALSE)</f>
        <v>148</v>
      </c>
    </row>
    <row r="10" spans="1:3" ht="15">
      <c r="A10" s="82" t="s">
        <v>1319</v>
      </c>
      <c r="B10" s="87" t="s">
        <v>365</v>
      </c>
      <c r="C10" s="81">
        <f>VLOOKUP(GroupVertices[[#This Row],[Vertex]],Vertices[],MATCH("ID",Vertices[[#Headers],[Vertex]:[Top Word Pairs in Comment by Salience]],0),FALSE)</f>
        <v>147</v>
      </c>
    </row>
    <row r="11" spans="1:3" ht="15">
      <c r="A11" s="82" t="s">
        <v>1319</v>
      </c>
      <c r="B11" s="87" t="s">
        <v>364</v>
      </c>
      <c r="C11" s="81">
        <f>VLOOKUP(GroupVertices[[#This Row],[Vertex]],Vertices[],MATCH("ID",Vertices[[#Headers],[Vertex]:[Top Word Pairs in Comment by Salience]],0),FALSE)</f>
        <v>146</v>
      </c>
    </row>
    <row r="12" spans="1:3" ht="15">
      <c r="A12" s="82" t="s">
        <v>1319</v>
      </c>
      <c r="B12" s="87" t="s">
        <v>363</v>
      </c>
      <c r="C12" s="81">
        <f>VLOOKUP(GroupVertices[[#This Row],[Vertex]],Vertices[],MATCH("ID",Vertices[[#Headers],[Vertex]:[Top Word Pairs in Comment by Salience]],0),FALSE)</f>
        <v>145</v>
      </c>
    </row>
    <row r="13" spans="1:3" ht="15">
      <c r="A13" s="82" t="s">
        <v>1319</v>
      </c>
      <c r="B13" s="87" t="s">
        <v>362</v>
      </c>
      <c r="C13" s="81">
        <f>VLOOKUP(GroupVertices[[#This Row],[Vertex]],Vertices[],MATCH("ID",Vertices[[#Headers],[Vertex]:[Top Word Pairs in Comment by Salience]],0),FALSE)</f>
        <v>144</v>
      </c>
    </row>
    <row r="14" spans="1:3" ht="15">
      <c r="A14" s="82" t="s">
        <v>1319</v>
      </c>
      <c r="B14" s="87" t="s">
        <v>361</v>
      </c>
      <c r="C14" s="81">
        <f>VLOOKUP(GroupVertices[[#This Row],[Vertex]],Vertices[],MATCH("ID",Vertices[[#Headers],[Vertex]:[Top Word Pairs in Comment by Salience]],0),FALSE)</f>
        <v>143</v>
      </c>
    </row>
    <row r="15" spans="1:3" ht="15">
      <c r="A15" s="82" t="s">
        <v>1319</v>
      </c>
      <c r="B15" s="87" t="s">
        <v>360</v>
      </c>
      <c r="C15" s="81">
        <f>VLOOKUP(GroupVertices[[#This Row],[Vertex]],Vertices[],MATCH("ID",Vertices[[#Headers],[Vertex]:[Top Word Pairs in Comment by Salience]],0),FALSE)</f>
        <v>142</v>
      </c>
    </row>
    <row r="16" spans="1:3" ht="15">
      <c r="A16" s="82" t="s">
        <v>1319</v>
      </c>
      <c r="B16" s="87" t="s">
        <v>359</v>
      </c>
      <c r="C16" s="81">
        <f>VLOOKUP(GroupVertices[[#This Row],[Vertex]],Vertices[],MATCH("ID",Vertices[[#Headers],[Vertex]:[Top Word Pairs in Comment by Salience]],0),FALSE)</f>
        <v>141</v>
      </c>
    </row>
    <row r="17" spans="1:3" ht="15">
      <c r="A17" s="82" t="s">
        <v>1319</v>
      </c>
      <c r="B17" s="87" t="s">
        <v>358</v>
      </c>
      <c r="C17" s="81">
        <f>VLOOKUP(GroupVertices[[#This Row],[Vertex]],Vertices[],MATCH("ID",Vertices[[#Headers],[Vertex]:[Top Word Pairs in Comment by Salience]],0),FALSE)</f>
        <v>140</v>
      </c>
    </row>
    <row r="18" spans="1:3" ht="15">
      <c r="A18" s="82" t="s">
        <v>1319</v>
      </c>
      <c r="B18" s="87" t="s">
        <v>357</v>
      </c>
      <c r="C18" s="81">
        <f>VLOOKUP(GroupVertices[[#This Row],[Vertex]],Vertices[],MATCH("ID",Vertices[[#Headers],[Vertex]:[Top Word Pairs in Comment by Salience]],0),FALSE)</f>
        <v>139</v>
      </c>
    </row>
    <row r="19" spans="1:3" ht="15">
      <c r="A19" s="82" t="s">
        <v>1319</v>
      </c>
      <c r="B19" s="87" t="s">
        <v>356</v>
      </c>
      <c r="C19" s="81">
        <f>VLOOKUP(GroupVertices[[#This Row],[Vertex]],Vertices[],MATCH("ID",Vertices[[#Headers],[Vertex]:[Top Word Pairs in Comment by Salience]],0),FALSE)</f>
        <v>138</v>
      </c>
    </row>
    <row r="20" spans="1:3" ht="15">
      <c r="A20" s="82" t="s">
        <v>1319</v>
      </c>
      <c r="B20" s="87" t="s">
        <v>355</v>
      </c>
      <c r="C20" s="81">
        <f>VLOOKUP(GroupVertices[[#This Row],[Vertex]],Vertices[],MATCH("ID",Vertices[[#Headers],[Vertex]:[Top Word Pairs in Comment by Salience]],0),FALSE)</f>
        <v>137</v>
      </c>
    </row>
    <row r="21" spans="1:3" ht="15">
      <c r="A21" s="82" t="s">
        <v>1319</v>
      </c>
      <c r="B21" s="87" t="s">
        <v>354</v>
      </c>
      <c r="C21" s="81">
        <f>VLOOKUP(GroupVertices[[#This Row],[Vertex]],Vertices[],MATCH("ID",Vertices[[#Headers],[Vertex]:[Top Word Pairs in Comment by Salience]],0),FALSE)</f>
        <v>136</v>
      </c>
    </row>
    <row r="22" spans="1:3" ht="15">
      <c r="A22" s="82" t="s">
        <v>1319</v>
      </c>
      <c r="B22" s="87" t="s">
        <v>353</v>
      </c>
      <c r="C22" s="81">
        <f>VLOOKUP(GroupVertices[[#This Row],[Vertex]],Vertices[],MATCH("ID",Vertices[[#Headers],[Vertex]:[Top Word Pairs in Comment by Salience]],0),FALSE)</f>
        <v>135</v>
      </c>
    </row>
    <row r="23" spans="1:3" ht="15">
      <c r="A23" s="82" t="s">
        <v>1319</v>
      </c>
      <c r="B23" s="87" t="s">
        <v>352</v>
      </c>
      <c r="C23" s="81">
        <f>VLOOKUP(GroupVertices[[#This Row],[Vertex]],Vertices[],MATCH("ID",Vertices[[#Headers],[Vertex]:[Top Word Pairs in Comment by Salience]],0),FALSE)</f>
        <v>134</v>
      </c>
    </row>
    <row r="24" spans="1:3" ht="15">
      <c r="A24" s="82" t="s">
        <v>1319</v>
      </c>
      <c r="B24" s="87" t="s">
        <v>351</v>
      </c>
      <c r="C24" s="81">
        <f>VLOOKUP(GroupVertices[[#This Row],[Vertex]],Vertices[],MATCH("ID",Vertices[[#Headers],[Vertex]:[Top Word Pairs in Comment by Salience]],0),FALSE)</f>
        <v>133</v>
      </c>
    </row>
    <row r="25" spans="1:3" ht="15">
      <c r="A25" s="82" t="s">
        <v>1319</v>
      </c>
      <c r="B25" s="87" t="s">
        <v>350</v>
      </c>
      <c r="C25" s="81">
        <f>VLOOKUP(GroupVertices[[#This Row],[Vertex]],Vertices[],MATCH("ID",Vertices[[#Headers],[Vertex]:[Top Word Pairs in Comment by Salience]],0),FALSE)</f>
        <v>132</v>
      </c>
    </row>
    <row r="26" spans="1:3" ht="15">
      <c r="A26" s="82" t="s">
        <v>1319</v>
      </c>
      <c r="B26" s="87" t="s">
        <v>349</v>
      </c>
      <c r="C26" s="81">
        <f>VLOOKUP(GroupVertices[[#This Row],[Vertex]],Vertices[],MATCH("ID",Vertices[[#Headers],[Vertex]:[Top Word Pairs in Comment by Salience]],0),FALSE)</f>
        <v>131</v>
      </c>
    </row>
    <row r="27" spans="1:3" ht="15">
      <c r="A27" s="82" t="s">
        <v>1319</v>
      </c>
      <c r="B27" s="87" t="s">
        <v>348</v>
      </c>
      <c r="C27" s="81">
        <f>VLOOKUP(GroupVertices[[#This Row],[Vertex]],Vertices[],MATCH("ID",Vertices[[#Headers],[Vertex]:[Top Word Pairs in Comment by Salience]],0),FALSE)</f>
        <v>130</v>
      </c>
    </row>
    <row r="28" spans="1:3" ht="15">
      <c r="A28" s="82" t="s">
        <v>1319</v>
      </c>
      <c r="B28" s="87" t="s">
        <v>347</v>
      </c>
      <c r="C28" s="81">
        <f>VLOOKUP(GroupVertices[[#This Row],[Vertex]],Vertices[],MATCH("ID",Vertices[[#Headers],[Vertex]:[Top Word Pairs in Comment by Salience]],0),FALSE)</f>
        <v>129</v>
      </c>
    </row>
    <row r="29" spans="1:3" ht="15">
      <c r="A29" s="82" t="s">
        <v>1319</v>
      </c>
      <c r="B29" s="87" t="s">
        <v>346</v>
      </c>
      <c r="C29" s="81">
        <f>VLOOKUP(GroupVertices[[#This Row],[Vertex]],Vertices[],MATCH("ID",Vertices[[#Headers],[Vertex]:[Top Word Pairs in Comment by Salience]],0),FALSE)</f>
        <v>128</v>
      </c>
    </row>
    <row r="30" spans="1:3" ht="15">
      <c r="A30" s="82" t="s">
        <v>1319</v>
      </c>
      <c r="B30" s="87" t="s">
        <v>345</v>
      </c>
      <c r="C30" s="81">
        <f>VLOOKUP(GroupVertices[[#This Row],[Vertex]],Vertices[],MATCH("ID",Vertices[[#Headers],[Vertex]:[Top Word Pairs in Comment by Salience]],0),FALSE)</f>
        <v>127</v>
      </c>
    </row>
    <row r="31" spans="1:3" ht="15">
      <c r="A31" s="82" t="s">
        <v>1319</v>
      </c>
      <c r="B31" s="87" t="s">
        <v>344</v>
      </c>
      <c r="C31" s="81">
        <f>VLOOKUP(GroupVertices[[#This Row],[Vertex]],Vertices[],MATCH("ID",Vertices[[#Headers],[Vertex]:[Top Word Pairs in Comment by Salience]],0),FALSE)</f>
        <v>126</v>
      </c>
    </row>
    <row r="32" spans="1:3" ht="15">
      <c r="A32" s="82" t="s">
        <v>1319</v>
      </c>
      <c r="B32" s="87" t="s">
        <v>343</v>
      </c>
      <c r="C32" s="81">
        <f>VLOOKUP(GroupVertices[[#This Row],[Vertex]],Vertices[],MATCH("ID",Vertices[[#Headers],[Vertex]:[Top Word Pairs in Comment by Salience]],0),FALSE)</f>
        <v>125</v>
      </c>
    </row>
    <row r="33" spans="1:3" ht="15">
      <c r="A33" s="82" t="s">
        <v>1319</v>
      </c>
      <c r="B33" s="87" t="s">
        <v>342</v>
      </c>
      <c r="C33" s="81">
        <f>VLOOKUP(GroupVertices[[#This Row],[Vertex]],Vertices[],MATCH("ID",Vertices[[#Headers],[Vertex]:[Top Word Pairs in Comment by Salience]],0),FALSE)</f>
        <v>124</v>
      </c>
    </row>
    <row r="34" spans="1:3" ht="15">
      <c r="A34" s="82" t="s">
        <v>1319</v>
      </c>
      <c r="B34" s="87" t="s">
        <v>341</v>
      </c>
      <c r="C34" s="81">
        <f>VLOOKUP(GroupVertices[[#This Row],[Vertex]],Vertices[],MATCH("ID",Vertices[[#Headers],[Vertex]:[Top Word Pairs in Comment by Salience]],0),FALSE)</f>
        <v>123</v>
      </c>
    </row>
    <row r="35" spans="1:3" ht="15">
      <c r="A35" s="82" t="s">
        <v>1319</v>
      </c>
      <c r="B35" s="87" t="s">
        <v>340</v>
      </c>
      <c r="C35" s="81">
        <f>VLOOKUP(GroupVertices[[#This Row],[Vertex]],Vertices[],MATCH("ID",Vertices[[#Headers],[Vertex]:[Top Word Pairs in Comment by Salience]],0),FALSE)</f>
        <v>122</v>
      </c>
    </row>
    <row r="36" spans="1:3" ht="15">
      <c r="A36" s="82" t="s">
        <v>1319</v>
      </c>
      <c r="B36" s="87" t="s">
        <v>339</v>
      </c>
      <c r="C36" s="81">
        <f>VLOOKUP(GroupVertices[[#This Row],[Vertex]],Vertices[],MATCH("ID",Vertices[[#Headers],[Vertex]:[Top Word Pairs in Comment by Salience]],0),FALSE)</f>
        <v>121</v>
      </c>
    </row>
    <row r="37" spans="1:3" ht="15">
      <c r="A37" s="82" t="s">
        <v>1319</v>
      </c>
      <c r="B37" s="87" t="s">
        <v>338</v>
      </c>
      <c r="C37" s="81">
        <f>VLOOKUP(GroupVertices[[#This Row],[Vertex]],Vertices[],MATCH("ID",Vertices[[#Headers],[Vertex]:[Top Word Pairs in Comment by Salience]],0),FALSE)</f>
        <v>120</v>
      </c>
    </row>
    <row r="38" spans="1:3" ht="15">
      <c r="A38" s="82" t="s">
        <v>1319</v>
      </c>
      <c r="B38" s="87" t="s">
        <v>337</v>
      </c>
      <c r="C38" s="81">
        <f>VLOOKUP(GroupVertices[[#This Row],[Vertex]],Vertices[],MATCH("ID",Vertices[[#Headers],[Vertex]:[Top Word Pairs in Comment by Salience]],0),FALSE)</f>
        <v>119</v>
      </c>
    </row>
    <row r="39" spans="1:3" ht="15">
      <c r="A39" s="82" t="s">
        <v>1319</v>
      </c>
      <c r="B39" s="87" t="s">
        <v>336</v>
      </c>
      <c r="C39" s="81">
        <f>VLOOKUP(GroupVertices[[#This Row],[Vertex]],Vertices[],MATCH("ID",Vertices[[#Headers],[Vertex]:[Top Word Pairs in Comment by Salience]],0),FALSE)</f>
        <v>118</v>
      </c>
    </row>
    <row r="40" spans="1:3" ht="15">
      <c r="A40" s="82" t="s">
        <v>1319</v>
      </c>
      <c r="B40" s="87" t="s">
        <v>335</v>
      </c>
      <c r="C40" s="81">
        <f>VLOOKUP(GroupVertices[[#This Row],[Vertex]],Vertices[],MATCH("ID",Vertices[[#Headers],[Vertex]:[Top Word Pairs in Comment by Salience]],0),FALSE)</f>
        <v>117</v>
      </c>
    </row>
    <row r="41" spans="1:3" ht="15">
      <c r="A41" s="82" t="s">
        <v>1319</v>
      </c>
      <c r="B41" s="87" t="s">
        <v>334</v>
      </c>
      <c r="C41" s="81">
        <f>VLOOKUP(GroupVertices[[#This Row],[Vertex]],Vertices[],MATCH("ID",Vertices[[#Headers],[Vertex]:[Top Word Pairs in Comment by Salience]],0),FALSE)</f>
        <v>116</v>
      </c>
    </row>
    <row r="42" spans="1:3" ht="15">
      <c r="A42" s="82" t="s">
        <v>1319</v>
      </c>
      <c r="B42" s="87" t="s">
        <v>333</v>
      </c>
      <c r="C42" s="81">
        <f>VLOOKUP(GroupVertices[[#This Row],[Vertex]],Vertices[],MATCH("ID",Vertices[[#Headers],[Vertex]:[Top Word Pairs in Comment by Salience]],0),FALSE)</f>
        <v>115</v>
      </c>
    </row>
    <row r="43" spans="1:3" ht="15">
      <c r="A43" s="82" t="s">
        <v>1319</v>
      </c>
      <c r="B43" s="87" t="s">
        <v>332</v>
      </c>
      <c r="C43" s="81">
        <f>VLOOKUP(GroupVertices[[#This Row],[Vertex]],Vertices[],MATCH("ID",Vertices[[#Headers],[Vertex]:[Top Word Pairs in Comment by Salience]],0),FALSE)</f>
        <v>114</v>
      </c>
    </row>
    <row r="44" spans="1:3" ht="15">
      <c r="A44" s="82" t="s">
        <v>1319</v>
      </c>
      <c r="B44" s="87" t="s">
        <v>331</v>
      </c>
      <c r="C44" s="81">
        <f>VLOOKUP(GroupVertices[[#This Row],[Vertex]],Vertices[],MATCH("ID",Vertices[[#Headers],[Vertex]:[Top Word Pairs in Comment by Salience]],0),FALSE)</f>
        <v>113</v>
      </c>
    </row>
    <row r="45" spans="1:3" ht="15">
      <c r="A45" s="82" t="s">
        <v>1319</v>
      </c>
      <c r="B45" s="87" t="s">
        <v>330</v>
      </c>
      <c r="C45" s="81">
        <f>VLOOKUP(GroupVertices[[#This Row],[Vertex]],Vertices[],MATCH("ID",Vertices[[#Headers],[Vertex]:[Top Word Pairs in Comment by Salience]],0),FALSE)</f>
        <v>112</v>
      </c>
    </row>
    <row r="46" spans="1:3" ht="15">
      <c r="A46" s="82" t="s">
        <v>1319</v>
      </c>
      <c r="B46" s="87" t="s">
        <v>329</v>
      </c>
      <c r="C46" s="81">
        <f>VLOOKUP(GroupVertices[[#This Row],[Vertex]],Vertices[],MATCH("ID",Vertices[[#Headers],[Vertex]:[Top Word Pairs in Comment by Salience]],0),FALSE)</f>
        <v>111</v>
      </c>
    </row>
    <row r="47" spans="1:3" ht="15">
      <c r="A47" s="82" t="s">
        <v>1319</v>
      </c>
      <c r="B47" s="87" t="s">
        <v>328</v>
      </c>
      <c r="C47" s="81">
        <f>VLOOKUP(GroupVertices[[#This Row],[Vertex]],Vertices[],MATCH("ID",Vertices[[#Headers],[Vertex]:[Top Word Pairs in Comment by Salience]],0),FALSE)</f>
        <v>110</v>
      </c>
    </row>
    <row r="48" spans="1:3" ht="15">
      <c r="A48" s="82" t="s">
        <v>1319</v>
      </c>
      <c r="B48" s="87" t="s">
        <v>327</v>
      </c>
      <c r="C48" s="81">
        <f>VLOOKUP(GroupVertices[[#This Row],[Vertex]],Vertices[],MATCH("ID",Vertices[[#Headers],[Vertex]:[Top Word Pairs in Comment by Salience]],0),FALSE)</f>
        <v>109</v>
      </c>
    </row>
    <row r="49" spans="1:3" ht="15">
      <c r="A49" s="82" t="s">
        <v>1319</v>
      </c>
      <c r="B49" s="87" t="s">
        <v>326</v>
      </c>
      <c r="C49" s="81">
        <f>VLOOKUP(GroupVertices[[#This Row],[Vertex]],Vertices[],MATCH("ID",Vertices[[#Headers],[Vertex]:[Top Word Pairs in Comment by Salience]],0),FALSE)</f>
        <v>108</v>
      </c>
    </row>
    <row r="50" spans="1:3" ht="15">
      <c r="A50" s="82" t="s">
        <v>1319</v>
      </c>
      <c r="B50" s="87" t="s">
        <v>325</v>
      </c>
      <c r="C50" s="81">
        <f>VLOOKUP(GroupVertices[[#This Row],[Vertex]],Vertices[],MATCH("ID",Vertices[[#Headers],[Vertex]:[Top Word Pairs in Comment by Salience]],0),FALSE)</f>
        <v>107</v>
      </c>
    </row>
    <row r="51" spans="1:3" ht="15">
      <c r="A51" s="82" t="s">
        <v>1319</v>
      </c>
      <c r="B51" s="87" t="s">
        <v>324</v>
      </c>
      <c r="C51" s="81">
        <f>VLOOKUP(GroupVertices[[#This Row],[Vertex]],Vertices[],MATCH("ID",Vertices[[#Headers],[Vertex]:[Top Word Pairs in Comment by Salience]],0),FALSE)</f>
        <v>106</v>
      </c>
    </row>
    <row r="52" spans="1:3" ht="15">
      <c r="A52" s="82" t="s">
        <v>1319</v>
      </c>
      <c r="B52" s="87" t="s">
        <v>323</v>
      </c>
      <c r="C52" s="81">
        <f>VLOOKUP(GroupVertices[[#This Row],[Vertex]],Vertices[],MATCH("ID",Vertices[[#Headers],[Vertex]:[Top Word Pairs in Comment by Salience]],0),FALSE)</f>
        <v>105</v>
      </c>
    </row>
    <row r="53" spans="1:3" ht="15">
      <c r="A53" s="82" t="s">
        <v>1319</v>
      </c>
      <c r="B53" s="87" t="s">
        <v>322</v>
      </c>
      <c r="C53" s="81">
        <f>VLOOKUP(GroupVertices[[#This Row],[Vertex]],Vertices[],MATCH("ID",Vertices[[#Headers],[Vertex]:[Top Word Pairs in Comment by Salience]],0),FALSE)</f>
        <v>104</v>
      </c>
    </row>
    <row r="54" spans="1:3" ht="15">
      <c r="A54" s="82" t="s">
        <v>1319</v>
      </c>
      <c r="B54" s="87" t="s">
        <v>321</v>
      </c>
      <c r="C54" s="81">
        <f>VLOOKUP(GroupVertices[[#This Row],[Vertex]],Vertices[],MATCH("ID",Vertices[[#Headers],[Vertex]:[Top Word Pairs in Comment by Salience]],0),FALSE)</f>
        <v>103</v>
      </c>
    </row>
    <row r="55" spans="1:3" ht="15">
      <c r="A55" s="82" t="s">
        <v>1319</v>
      </c>
      <c r="B55" s="87" t="s">
        <v>320</v>
      </c>
      <c r="C55" s="81">
        <f>VLOOKUP(GroupVertices[[#This Row],[Vertex]],Vertices[],MATCH("ID",Vertices[[#Headers],[Vertex]:[Top Word Pairs in Comment by Salience]],0),FALSE)</f>
        <v>102</v>
      </c>
    </row>
    <row r="56" spans="1:3" ht="15">
      <c r="A56" s="82" t="s">
        <v>1319</v>
      </c>
      <c r="B56" s="87" t="s">
        <v>319</v>
      </c>
      <c r="C56" s="81">
        <f>VLOOKUP(GroupVertices[[#This Row],[Vertex]],Vertices[],MATCH("ID",Vertices[[#Headers],[Vertex]:[Top Word Pairs in Comment by Salience]],0),FALSE)</f>
        <v>101</v>
      </c>
    </row>
    <row r="57" spans="1:3" ht="15">
      <c r="A57" s="82" t="s">
        <v>1319</v>
      </c>
      <c r="B57" s="87" t="s">
        <v>318</v>
      </c>
      <c r="C57" s="81">
        <f>VLOOKUP(GroupVertices[[#This Row],[Vertex]],Vertices[],MATCH("ID",Vertices[[#Headers],[Vertex]:[Top Word Pairs in Comment by Salience]],0),FALSE)</f>
        <v>100</v>
      </c>
    </row>
    <row r="58" spans="1:3" ht="15">
      <c r="A58" s="82" t="s">
        <v>1319</v>
      </c>
      <c r="B58" s="87" t="s">
        <v>317</v>
      </c>
      <c r="C58" s="81">
        <f>VLOOKUP(GroupVertices[[#This Row],[Vertex]],Vertices[],MATCH("ID",Vertices[[#Headers],[Vertex]:[Top Word Pairs in Comment by Salience]],0),FALSE)</f>
        <v>99</v>
      </c>
    </row>
    <row r="59" spans="1:3" ht="15">
      <c r="A59" s="82" t="s">
        <v>1319</v>
      </c>
      <c r="B59" s="87" t="s">
        <v>316</v>
      </c>
      <c r="C59" s="81">
        <f>VLOOKUP(GroupVertices[[#This Row],[Vertex]],Vertices[],MATCH("ID",Vertices[[#Headers],[Vertex]:[Top Word Pairs in Comment by Salience]],0),FALSE)</f>
        <v>98</v>
      </c>
    </row>
    <row r="60" spans="1:3" ht="15">
      <c r="A60" s="82" t="s">
        <v>1319</v>
      </c>
      <c r="B60" s="87" t="s">
        <v>315</v>
      </c>
      <c r="C60" s="81">
        <f>VLOOKUP(GroupVertices[[#This Row],[Vertex]],Vertices[],MATCH("ID",Vertices[[#Headers],[Vertex]:[Top Word Pairs in Comment by Salience]],0),FALSE)</f>
        <v>97</v>
      </c>
    </row>
    <row r="61" spans="1:3" ht="15">
      <c r="A61" s="82" t="s">
        <v>1319</v>
      </c>
      <c r="B61" s="87" t="s">
        <v>314</v>
      </c>
      <c r="C61" s="81">
        <f>VLOOKUP(GroupVertices[[#This Row],[Vertex]],Vertices[],MATCH("ID",Vertices[[#Headers],[Vertex]:[Top Word Pairs in Comment by Salience]],0),FALSE)</f>
        <v>96</v>
      </c>
    </row>
    <row r="62" spans="1:3" ht="15">
      <c r="A62" s="82" t="s">
        <v>1319</v>
      </c>
      <c r="B62" s="87" t="s">
        <v>313</v>
      </c>
      <c r="C62" s="81">
        <f>VLOOKUP(GroupVertices[[#This Row],[Vertex]],Vertices[],MATCH("ID",Vertices[[#Headers],[Vertex]:[Top Word Pairs in Comment by Salience]],0),FALSE)</f>
        <v>95</v>
      </c>
    </row>
    <row r="63" spans="1:3" ht="15">
      <c r="A63" s="82" t="s">
        <v>1319</v>
      </c>
      <c r="B63" s="87" t="s">
        <v>312</v>
      </c>
      <c r="C63" s="81">
        <f>VLOOKUP(GroupVertices[[#This Row],[Vertex]],Vertices[],MATCH("ID",Vertices[[#Headers],[Vertex]:[Top Word Pairs in Comment by Salience]],0),FALSE)</f>
        <v>94</v>
      </c>
    </row>
    <row r="64" spans="1:3" ht="15">
      <c r="A64" s="82" t="s">
        <v>1319</v>
      </c>
      <c r="B64" s="87" t="s">
        <v>311</v>
      </c>
      <c r="C64" s="81">
        <f>VLOOKUP(GroupVertices[[#This Row],[Vertex]],Vertices[],MATCH("ID",Vertices[[#Headers],[Vertex]:[Top Word Pairs in Comment by Salience]],0),FALSE)</f>
        <v>93</v>
      </c>
    </row>
    <row r="65" spans="1:3" ht="15">
      <c r="A65" s="82" t="s">
        <v>1319</v>
      </c>
      <c r="B65" s="87" t="s">
        <v>310</v>
      </c>
      <c r="C65" s="81">
        <f>VLOOKUP(GroupVertices[[#This Row],[Vertex]],Vertices[],MATCH("ID",Vertices[[#Headers],[Vertex]:[Top Word Pairs in Comment by Salience]],0),FALSE)</f>
        <v>92</v>
      </c>
    </row>
    <row r="66" spans="1:3" ht="15">
      <c r="A66" s="82" t="s">
        <v>1319</v>
      </c>
      <c r="B66" s="87" t="s">
        <v>309</v>
      </c>
      <c r="C66" s="81">
        <f>VLOOKUP(GroupVertices[[#This Row],[Vertex]],Vertices[],MATCH("ID",Vertices[[#Headers],[Vertex]:[Top Word Pairs in Comment by Salience]],0),FALSE)</f>
        <v>91</v>
      </c>
    </row>
    <row r="67" spans="1:3" ht="15">
      <c r="A67" s="82" t="s">
        <v>1319</v>
      </c>
      <c r="B67" s="87" t="s">
        <v>308</v>
      </c>
      <c r="C67" s="81">
        <f>VLOOKUP(GroupVertices[[#This Row],[Vertex]],Vertices[],MATCH("ID",Vertices[[#Headers],[Vertex]:[Top Word Pairs in Comment by Salience]],0),FALSE)</f>
        <v>90</v>
      </c>
    </row>
    <row r="68" spans="1:3" ht="15">
      <c r="A68" s="82" t="s">
        <v>1319</v>
      </c>
      <c r="B68" s="87" t="s">
        <v>307</v>
      </c>
      <c r="C68" s="81">
        <f>VLOOKUP(GroupVertices[[#This Row],[Vertex]],Vertices[],MATCH("ID",Vertices[[#Headers],[Vertex]:[Top Word Pairs in Comment by Salience]],0),FALSE)</f>
        <v>89</v>
      </c>
    </row>
    <row r="69" spans="1:3" ht="15">
      <c r="A69" s="82" t="s">
        <v>1319</v>
      </c>
      <c r="B69" s="87" t="s">
        <v>306</v>
      </c>
      <c r="C69" s="81">
        <f>VLOOKUP(GroupVertices[[#This Row],[Vertex]],Vertices[],MATCH("ID",Vertices[[#Headers],[Vertex]:[Top Word Pairs in Comment by Salience]],0),FALSE)</f>
        <v>88</v>
      </c>
    </row>
    <row r="70" spans="1:3" ht="15">
      <c r="A70" s="82" t="s">
        <v>1319</v>
      </c>
      <c r="B70" s="87" t="s">
        <v>305</v>
      </c>
      <c r="C70" s="81">
        <f>VLOOKUP(GroupVertices[[#This Row],[Vertex]],Vertices[],MATCH("ID",Vertices[[#Headers],[Vertex]:[Top Word Pairs in Comment by Salience]],0),FALSE)</f>
        <v>87</v>
      </c>
    </row>
    <row r="71" spans="1:3" ht="15">
      <c r="A71" s="82" t="s">
        <v>1319</v>
      </c>
      <c r="B71" s="87" t="s">
        <v>304</v>
      </c>
      <c r="C71" s="81">
        <f>VLOOKUP(GroupVertices[[#This Row],[Vertex]],Vertices[],MATCH("ID",Vertices[[#Headers],[Vertex]:[Top Word Pairs in Comment by Salience]],0),FALSE)</f>
        <v>86</v>
      </c>
    </row>
    <row r="72" spans="1:3" ht="15">
      <c r="A72" s="82" t="s">
        <v>1319</v>
      </c>
      <c r="B72" s="87" t="s">
        <v>303</v>
      </c>
      <c r="C72" s="81">
        <f>VLOOKUP(GroupVertices[[#This Row],[Vertex]],Vertices[],MATCH("ID",Vertices[[#Headers],[Vertex]:[Top Word Pairs in Comment by Salience]],0),FALSE)</f>
        <v>85</v>
      </c>
    </row>
    <row r="73" spans="1:3" ht="15">
      <c r="A73" s="82" t="s">
        <v>1319</v>
      </c>
      <c r="B73" s="87" t="s">
        <v>302</v>
      </c>
      <c r="C73" s="81">
        <f>VLOOKUP(GroupVertices[[#This Row],[Vertex]],Vertices[],MATCH("ID",Vertices[[#Headers],[Vertex]:[Top Word Pairs in Comment by Salience]],0),FALSE)</f>
        <v>84</v>
      </c>
    </row>
    <row r="74" spans="1:3" ht="15">
      <c r="A74" s="82" t="s">
        <v>1319</v>
      </c>
      <c r="B74" s="87" t="s">
        <v>301</v>
      </c>
      <c r="C74" s="81">
        <f>VLOOKUP(GroupVertices[[#This Row],[Vertex]],Vertices[],MATCH("ID",Vertices[[#Headers],[Vertex]:[Top Word Pairs in Comment by Salience]],0),FALSE)</f>
        <v>83</v>
      </c>
    </row>
    <row r="75" spans="1:3" ht="15">
      <c r="A75" s="82" t="s">
        <v>1319</v>
      </c>
      <c r="B75" s="87" t="s">
        <v>300</v>
      </c>
      <c r="C75" s="81">
        <f>VLOOKUP(GroupVertices[[#This Row],[Vertex]],Vertices[],MATCH("ID",Vertices[[#Headers],[Vertex]:[Top Word Pairs in Comment by Salience]],0),FALSE)</f>
        <v>82</v>
      </c>
    </row>
    <row r="76" spans="1:3" ht="15">
      <c r="A76" s="82" t="s">
        <v>1319</v>
      </c>
      <c r="B76" s="87" t="s">
        <v>299</v>
      </c>
      <c r="C76" s="81">
        <f>VLOOKUP(GroupVertices[[#This Row],[Vertex]],Vertices[],MATCH("ID",Vertices[[#Headers],[Vertex]:[Top Word Pairs in Comment by Salience]],0),FALSE)</f>
        <v>81</v>
      </c>
    </row>
    <row r="77" spans="1:3" ht="15">
      <c r="A77" s="82" t="s">
        <v>1319</v>
      </c>
      <c r="B77" s="87" t="s">
        <v>298</v>
      </c>
      <c r="C77" s="81">
        <f>VLOOKUP(GroupVertices[[#This Row],[Vertex]],Vertices[],MATCH("ID",Vertices[[#Headers],[Vertex]:[Top Word Pairs in Comment by Salience]],0),FALSE)</f>
        <v>80</v>
      </c>
    </row>
    <row r="78" spans="1:3" ht="15">
      <c r="A78" s="82" t="s">
        <v>1319</v>
      </c>
      <c r="B78" s="87" t="s">
        <v>297</v>
      </c>
      <c r="C78" s="81">
        <f>VLOOKUP(GroupVertices[[#This Row],[Vertex]],Vertices[],MATCH("ID",Vertices[[#Headers],[Vertex]:[Top Word Pairs in Comment by Salience]],0),FALSE)</f>
        <v>79</v>
      </c>
    </row>
    <row r="79" spans="1:3" ht="15">
      <c r="A79" s="82" t="s">
        <v>1319</v>
      </c>
      <c r="B79" s="87" t="s">
        <v>296</v>
      </c>
      <c r="C79" s="81">
        <f>VLOOKUP(GroupVertices[[#This Row],[Vertex]],Vertices[],MATCH("ID",Vertices[[#Headers],[Vertex]:[Top Word Pairs in Comment by Salience]],0),FALSE)</f>
        <v>78</v>
      </c>
    </row>
    <row r="80" spans="1:3" ht="15">
      <c r="A80" s="82" t="s">
        <v>1319</v>
      </c>
      <c r="B80" s="87" t="s">
        <v>295</v>
      </c>
      <c r="C80" s="81">
        <f>VLOOKUP(GroupVertices[[#This Row],[Vertex]],Vertices[],MATCH("ID",Vertices[[#Headers],[Vertex]:[Top Word Pairs in Comment by Salience]],0),FALSE)</f>
        <v>77</v>
      </c>
    </row>
    <row r="81" spans="1:3" ht="15">
      <c r="A81" s="82" t="s">
        <v>1319</v>
      </c>
      <c r="B81" s="87" t="s">
        <v>294</v>
      </c>
      <c r="C81" s="81">
        <f>VLOOKUP(GroupVertices[[#This Row],[Vertex]],Vertices[],MATCH("ID",Vertices[[#Headers],[Vertex]:[Top Word Pairs in Comment by Salience]],0),FALSE)</f>
        <v>76</v>
      </c>
    </row>
    <row r="82" spans="1:3" ht="15">
      <c r="A82" s="82" t="s">
        <v>1319</v>
      </c>
      <c r="B82" s="87" t="s">
        <v>293</v>
      </c>
      <c r="C82" s="81">
        <f>VLOOKUP(GroupVertices[[#This Row],[Vertex]],Vertices[],MATCH("ID",Vertices[[#Headers],[Vertex]:[Top Word Pairs in Comment by Salience]],0),FALSE)</f>
        <v>75</v>
      </c>
    </row>
    <row r="83" spans="1:3" ht="15">
      <c r="A83" s="82" t="s">
        <v>1319</v>
      </c>
      <c r="B83" s="87" t="s">
        <v>292</v>
      </c>
      <c r="C83" s="81">
        <f>VLOOKUP(GroupVertices[[#This Row],[Vertex]],Vertices[],MATCH("ID",Vertices[[#Headers],[Vertex]:[Top Word Pairs in Comment by Salience]],0),FALSE)</f>
        <v>74</v>
      </c>
    </row>
    <row r="84" spans="1:3" ht="15">
      <c r="A84" s="82" t="s">
        <v>1319</v>
      </c>
      <c r="B84" s="87" t="s">
        <v>291</v>
      </c>
      <c r="C84" s="81">
        <f>VLOOKUP(GroupVertices[[#This Row],[Vertex]],Vertices[],MATCH("ID",Vertices[[#Headers],[Vertex]:[Top Word Pairs in Comment by Salience]],0),FALSE)</f>
        <v>73</v>
      </c>
    </row>
    <row r="85" spans="1:3" ht="15">
      <c r="A85" s="82" t="s">
        <v>1319</v>
      </c>
      <c r="B85" s="87" t="s">
        <v>290</v>
      </c>
      <c r="C85" s="81">
        <f>VLOOKUP(GroupVertices[[#This Row],[Vertex]],Vertices[],MATCH("ID",Vertices[[#Headers],[Vertex]:[Top Word Pairs in Comment by Salience]],0),FALSE)</f>
        <v>72</v>
      </c>
    </row>
    <row r="86" spans="1:3" ht="15">
      <c r="A86" s="82" t="s">
        <v>1319</v>
      </c>
      <c r="B86" s="87" t="s">
        <v>289</v>
      </c>
      <c r="C86" s="81">
        <f>VLOOKUP(GroupVertices[[#This Row],[Vertex]],Vertices[],MATCH("ID",Vertices[[#Headers],[Vertex]:[Top Word Pairs in Comment by Salience]],0),FALSE)</f>
        <v>71</v>
      </c>
    </row>
    <row r="87" spans="1:3" ht="15">
      <c r="A87" s="82" t="s">
        <v>1319</v>
      </c>
      <c r="B87" s="87" t="s">
        <v>288</v>
      </c>
      <c r="C87" s="81">
        <f>VLOOKUP(GroupVertices[[#This Row],[Vertex]],Vertices[],MATCH("ID",Vertices[[#Headers],[Vertex]:[Top Word Pairs in Comment by Salience]],0),FALSE)</f>
        <v>70</v>
      </c>
    </row>
    <row r="88" spans="1:3" ht="15">
      <c r="A88" s="82" t="s">
        <v>1319</v>
      </c>
      <c r="B88" s="87" t="s">
        <v>287</v>
      </c>
      <c r="C88" s="81">
        <f>VLOOKUP(GroupVertices[[#This Row],[Vertex]],Vertices[],MATCH("ID",Vertices[[#Headers],[Vertex]:[Top Word Pairs in Comment by Salience]],0),FALSE)</f>
        <v>69</v>
      </c>
    </row>
    <row r="89" spans="1:3" ht="15">
      <c r="A89" s="82" t="s">
        <v>1319</v>
      </c>
      <c r="B89" s="87" t="s">
        <v>286</v>
      </c>
      <c r="C89" s="81">
        <f>VLOOKUP(GroupVertices[[#This Row],[Vertex]],Vertices[],MATCH("ID",Vertices[[#Headers],[Vertex]:[Top Word Pairs in Comment by Salience]],0),FALSE)</f>
        <v>68</v>
      </c>
    </row>
    <row r="90" spans="1:3" ht="15">
      <c r="A90" s="82" t="s">
        <v>1319</v>
      </c>
      <c r="B90" s="87" t="s">
        <v>285</v>
      </c>
      <c r="C90" s="81">
        <f>VLOOKUP(GroupVertices[[#This Row],[Vertex]],Vertices[],MATCH("ID",Vertices[[#Headers],[Vertex]:[Top Word Pairs in Comment by Salience]],0),FALSE)</f>
        <v>67</v>
      </c>
    </row>
    <row r="91" spans="1:3" ht="15">
      <c r="A91" s="82" t="s">
        <v>1319</v>
      </c>
      <c r="B91" s="87" t="s">
        <v>284</v>
      </c>
      <c r="C91" s="81">
        <f>VLOOKUP(GroupVertices[[#This Row],[Vertex]],Vertices[],MATCH("ID",Vertices[[#Headers],[Vertex]:[Top Word Pairs in Comment by Salience]],0),FALSE)</f>
        <v>66</v>
      </c>
    </row>
    <row r="92" spans="1:3" ht="15">
      <c r="A92" s="82" t="s">
        <v>1319</v>
      </c>
      <c r="B92" s="87" t="s">
        <v>283</v>
      </c>
      <c r="C92" s="81">
        <f>VLOOKUP(GroupVertices[[#This Row],[Vertex]],Vertices[],MATCH("ID",Vertices[[#Headers],[Vertex]:[Top Word Pairs in Comment by Salience]],0),FALSE)</f>
        <v>65</v>
      </c>
    </row>
    <row r="93" spans="1:3" ht="15">
      <c r="A93" s="82" t="s">
        <v>1319</v>
      </c>
      <c r="B93" s="87" t="s">
        <v>282</v>
      </c>
      <c r="C93" s="81">
        <f>VLOOKUP(GroupVertices[[#This Row],[Vertex]],Vertices[],MATCH("ID",Vertices[[#Headers],[Vertex]:[Top Word Pairs in Comment by Salience]],0),FALSE)</f>
        <v>64</v>
      </c>
    </row>
    <row r="94" spans="1:3" ht="15">
      <c r="A94" s="82" t="s">
        <v>1319</v>
      </c>
      <c r="B94" s="87" t="s">
        <v>281</v>
      </c>
      <c r="C94" s="81">
        <f>VLOOKUP(GroupVertices[[#This Row],[Vertex]],Vertices[],MATCH("ID",Vertices[[#Headers],[Vertex]:[Top Word Pairs in Comment by Salience]],0),FALSE)</f>
        <v>63</v>
      </c>
    </row>
    <row r="95" spans="1:3" ht="15">
      <c r="A95" s="82" t="s">
        <v>1320</v>
      </c>
      <c r="B95" s="87" t="s">
        <v>374</v>
      </c>
      <c r="C95" s="81">
        <f>VLOOKUP(GroupVertices[[#This Row],[Vertex]],Vertices[],MATCH("ID",Vertices[[#Headers],[Vertex]:[Top Word Pairs in Comment by Salience]],0),FALSE)</f>
        <v>155</v>
      </c>
    </row>
    <row r="96" spans="1:3" ht="15">
      <c r="A96" s="82" t="s">
        <v>1320</v>
      </c>
      <c r="B96" s="87" t="s">
        <v>375</v>
      </c>
      <c r="C96" s="81">
        <f>VLOOKUP(GroupVertices[[#This Row],[Vertex]],Vertices[],MATCH("ID",Vertices[[#Headers],[Vertex]:[Top Word Pairs in Comment by Salience]],0),FALSE)</f>
        <v>156</v>
      </c>
    </row>
    <row r="97" spans="1:3" ht="15">
      <c r="A97" s="82" t="s">
        <v>1320</v>
      </c>
      <c r="B97" s="87" t="s">
        <v>376</v>
      </c>
      <c r="C97" s="81">
        <f>VLOOKUP(GroupVertices[[#This Row],[Vertex]],Vertices[],MATCH("ID",Vertices[[#Headers],[Vertex]:[Top Word Pairs in Comment by Salience]],0),FALSE)</f>
        <v>157</v>
      </c>
    </row>
    <row r="98" spans="1:3" ht="15">
      <c r="A98" s="82" t="s">
        <v>1320</v>
      </c>
      <c r="B98" s="87" t="s">
        <v>377</v>
      </c>
      <c r="C98" s="81">
        <f>VLOOKUP(GroupVertices[[#This Row],[Vertex]],Vertices[],MATCH("ID",Vertices[[#Headers],[Vertex]:[Top Word Pairs in Comment by Salience]],0),FALSE)</f>
        <v>158</v>
      </c>
    </row>
    <row r="99" spans="1:3" ht="15">
      <c r="A99" s="82" t="s">
        <v>1320</v>
      </c>
      <c r="B99" s="87" t="s">
        <v>378</v>
      </c>
      <c r="C99" s="81">
        <f>VLOOKUP(GroupVertices[[#This Row],[Vertex]],Vertices[],MATCH("ID",Vertices[[#Headers],[Vertex]:[Top Word Pairs in Comment by Salience]],0),FALSE)</f>
        <v>159</v>
      </c>
    </row>
    <row r="100" spans="1:3" ht="15">
      <c r="A100" s="82" t="s">
        <v>1320</v>
      </c>
      <c r="B100" s="87" t="s">
        <v>379</v>
      </c>
      <c r="C100" s="81">
        <f>VLOOKUP(GroupVertices[[#This Row],[Vertex]],Vertices[],MATCH("ID",Vertices[[#Headers],[Vertex]:[Top Word Pairs in Comment by Salience]],0),FALSE)</f>
        <v>160</v>
      </c>
    </row>
    <row r="101" spans="1:3" ht="15">
      <c r="A101" s="82" t="s">
        <v>1320</v>
      </c>
      <c r="B101" s="87" t="s">
        <v>380</v>
      </c>
      <c r="C101" s="81">
        <f>VLOOKUP(GroupVertices[[#This Row],[Vertex]],Vertices[],MATCH("ID",Vertices[[#Headers],[Vertex]:[Top Word Pairs in Comment by Salience]],0),FALSE)</f>
        <v>161</v>
      </c>
    </row>
    <row r="102" spans="1:3" ht="15">
      <c r="A102" s="82" t="s">
        <v>1320</v>
      </c>
      <c r="B102" s="87" t="s">
        <v>381</v>
      </c>
      <c r="C102" s="81">
        <f>VLOOKUP(GroupVertices[[#This Row],[Vertex]],Vertices[],MATCH("ID",Vertices[[#Headers],[Vertex]:[Top Word Pairs in Comment by Salience]],0),FALSE)</f>
        <v>162</v>
      </c>
    </row>
    <row r="103" spans="1:3" ht="15">
      <c r="A103" s="82" t="s">
        <v>1320</v>
      </c>
      <c r="B103" s="87" t="s">
        <v>382</v>
      </c>
      <c r="C103" s="81">
        <f>VLOOKUP(GroupVertices[[#This Row],[Vertex]],Vertices[],MATCH("ID",Vertices[[#Headers],[Vertex]:[Top Word Pairs in Comment by Salience]],0),FALSE)</f>
        <v>163</v>
      </c>
    </row>
    <row r="104" spans="1:3" ht="15">
      <c r="A104" s="82" t="s">
        <v>1320</v>
      </c>
      <c r="B104" s="87" t="s">
        <v>383</v>
      </c>
      <c r="C104" s="81">
        <f>VLOOKUP(GroupVertices[[#This Row],[Vertex]],Vertices[],MATCH("ID",Vertices[[#Headers],[Vertex]:[Top Word Pairs in Comment by Salience]],0),FALSE)</f>
        <v>164</v>
      </c>
    </row>
    <row r="105" spans="1:3" ht="15">
      <c r="A105" s="82" t="s">
        <v>1320</v>
      </c>
      <c r="B105" s="87" t="s">
        <v>384</v>
      </c>
      <c r="C105" s="81">
        <f>VLOOKUP(GroupVertices[[#This Row],[Vertex]],Vertices[],MATCH("ID",Vertices[[#Headers],[Vertex]:[Top Word Pairs in Comment by Salience]],0),FALSE)</f>
        <v>165</v>
      </c>
    </row>
    <row r="106" spans="1:3" ht="15">
      <c r="A106" s="82" t="s">
        <v>1320</v>
      </c>
      <c r="B106" s="87" t="s">
        <v>385</v>
      </c>
      <c r="C106" s="81">
        <f>VLOOKUP(GroupVertices[[#This Row],[Vertex]],Vertices[],MATCH("ID",Vertices[[#Headers],[Vertex]:[Top Word Pairs in Comment by Salience]],0),FALSE)</f>
        <v>166</v>
      </c>
    </row>
    <row r="107" spans="1:3" ht="15">
      <c r="A107" s="82" t="s">
        <v>1320</v>
      </c>
      <c r="B107" s="87" t="s">
        <v>386</v>
      </c>
      <c r="C107" s="81">
        <f>VLOOKUP(GroupVertices[[#This Row],[Vertex]],Vertices[],MATCH("ID",Vertices[[#Headers],[Vertex]:[Top Word Pairs in Comment by Salience]],0),FALSE)</f>
        <v>167</v>
      </c>
    </row>
    <row r="108" spans="1:3" ht="15">
      <c r="A108" s="82" t="s">
        <v>1320</v>
      </c>
      <c r="B108" s="87" t="s">
        <v>387</v>
      </c>
      <c r="C108" s="81">
        <f>VLOOKUP(GroupVertices[[#This Row],[Vertex]],Vertices[],MATCH("ID",Vertices[[#Headers],[Vertex]:[Top Word Pairs in Comment by Salience]],0),FALSE)</f>
        <v>168</v>
      </c>
    </row>
    <row r="109" spans="1:3" ht="15">
      <c r="A109" s="82" t="s">
        <v>1320</v>
      </c>
      <c r="B109" s="87" t="s">
        <v>388</v>
      </c>
      <c r="C109" s="81">
        <f>VLOOKUP(GroupVertices[[#This Row],[Vertex]],Vertices[],MATCH("ID",Vertices[[#Headers],[Vertex]:[Top Word Pairs in Comment by Salience]],0),FALSE)</f>
        <v>169</v>
      </c>
    </row>
    <row r="110" spans="1:3" ht="15">
      <c r="A110" s="82" t="s">
        <v>1320</v>
      </c>
      <c r="B110" s="87" t="s">
        <v>389</v>
      </c>
      <c r="C110" s="81">
        <f>VLOOKUP(GroupVertices[[#This Row],[Vertex]],Vertices[],MATCH("ID",Vertices[[#Headers],[Vertex]:[Top Word Pairs in Comment by Salience]],0),FALSE)</f>
        <v>170</v>
      </c>
    </row>
    <row r="111" spans="1:3" ht="15">
      <c r="A111" s="82" t="s">
        <v>1320</v>
      </c>
      <c r="B111" s="87" t="s">
        <v>390</v>
      </c>
      <c r="C111" s="81">
        <f>VLOOKUP(GroupVertices[[#This Row],[Vertex]],Vertices[],MATCH("ID",Vertices[[#Headers],[Vertex]:[Top Word Pairs in Comment by Salience]],0),FALSE)</f>
        <v>171</v>
      </c>
    </row>
    <row r="112" spans="1:3" ht="15">
      <c r="A112" s="82" t="s">
        <v>1320</v>
      </c>
      <c r="B112" s="87" t="s">
        <v>391</v>
      </c>
      <c r="C112" s="81">
        <f>VLOOKUP(GroupVertices[[#This Row],[Vertex]],Vertices[],MATCH("ID",Vertices[[#Headers],[Vertex]:[Top Word Pairs in Comment by Salience]],0),FALSE)</f>
        <v>172</v>
      </c>
    </row>
    <row r="113" spans="1:3" ht="15">
      <c r="A113" s="82" t="s">
        <v>1320</v>
      </c>
      <c r="B113" s="87" t="s">
        <v>392</v>
      </c>
      <c r="C113" s="81">
        <f>VLOOKUP(GroupVertices[[#This Row],[Vertex]],Vertices[],MATCH("ID",Vertices[[#Headers],[Vertex]:[Top Word Pairs in Comment by Salience]],0),FALSE)</f>
        <v>173</v>
      </c>
    </row>
    <row r="114" spans="1:3" ht="15">
      <c r="A114" s="82" t="s">
        <v>1320</v>
      </c>
      <c r="B114" s="87" t="s">
        <v>393</v>
      </c>
      <c r="C114" s="81">
        <f>VLOOKUP(GroupVertices[[#This Row],[Vertex]],Vertices[],MATCH("ID",Vertices[[#Headers],[Vertex]:[Top Word Pairs in Comment by Salience]],0),FALSE)</f>
        <v>174</v>
      </c>
    </row>
    <row r="115" spans="1:3" ht="15">
      <c r="A115" s="82" t="s">
        <v>1320</v>
      </c>
      <c r="B115" s="87" t="s">
        <v>394</v>
      </c>
      <c r="C115" s="81">
        <f>VLOOKUP(GroupVertices[[#This Row],[Vertex]],Vertices[],MATCH("ID",Vertices[[#Headers],[Vertex]:[Top Word Pairs in Comment by Salience]],0),FALSE)</f>
        <v>175</v>
      </c>
    </row>
    <row r="116" spans="1:3" ht="15">
      <c r="A116" s="82" t="s">
        <v>1320</v>
      </c>
      <c r="B116" s="87" t="s">
        <v>395</v>
      </c>
      <c r="C116" s="81">
        <f>VLOOKUP(GroupVertices[[#This Row],[Vertex]],Vertices[],MATCH("ID",Vertices[[#Headers],[Vertex]:[Top Word Pairs in Comment by Salience]],0),FALSE)</f>
        <v>176</v>
      </c>
    </row>
    <row r="117" spans="1:3" ht="15">
      <c r="A117" s="82" t="s">
        <v>1320</v>
      </c>
      <c r="B117" s="87" t="s">
        <v>396</v>
      </c>
      <c r="C117" s="81">
        <f>VLOOKUP(GroupVertices[[#This Row],[Vertex]],Vertices[],MATCH("ID",Vertices[[#Headers],[Vertex]:[Top Word Pairs in Comment by Salience]],0),FALSE)</f>
        <v>177</v>
      </c>
    </row>
    <row r="118" spans="1:3" ht="15">
      <c r="A118" s="82" t="s">
        <v>1320</v>
      </c>
      <c r="B118" s="87" t="s">
        <v>397</v>
      </c>
      <c r="C118" s="81">
        <f>VLOOKUP(GroupVertices[[#This Row],[Vertex]],Vertices[],MATCH("ID",Vertices[[#Headers],[Vertex]:[Top Word Pairs in Comment by Salience]],0),FALSE)</f>
        <v>178</v>
      </c>
    </row>
    <row r="119" spans="1:3" ht="15">
      <c r="A119" s="82" t="s">
        <v>1320</v>
      </c>
      <c r="B119" s="87" t="s">
        <v>398</v>
      </c>
      <c r="C119" s="81">
        <f>VLOOKUP(GroupVertices[[#This Row],[Vertex]],Vertices[],MATCH("ID",Vertices[[#Headers],[Vertex]:[Top Word Pairs in Comment by Salience]],0),FALSE)</f>
        <v>179</v>
      </c>
    </row>
    <row r="120" spans="1:3" ht="15">
      <c r="A120" s="82" t="s">
        <v>1320</v>
      </c>
      <c r="B120" s="87" t="s">
        <v>399</v>
      </c>
      <c r="C120" s="81">
        <f>VLOOKUP(GroupVertices[[#This Row],[Vertex]],Vertices[],MATCH("ID",Vertices[[#Headers],[Vertex]:[Top Word Pairs in Comment by Salience]],0),FALSE)</f>
        <v>180</v>
      </c>
    </row>
    <row r="121" spans="1:3" ht="15">
      <c r="A121" s="82" t="s">
        <v>1320</v>
      </c>
      <c r="B121" s="87" t="s">
        <v>400</v>
      </c>
      <c r="C121" s="81">
        <f>VLOOKUP(GroupVertices[[#This Row],[Vertex]],Vertices[],MATCH("ID",Vertices[[#Headers],[Vertex]:[Top Word Pairs in Comment by Salience]],0),FALSE)</f>
        <v>181</v>
      </c>
    </row>
    <row r="122" spans="1:3" ht="15">
      <c r="A122" s="82" t="s">
        <v>1320</v>
      </c>
      <c r="B122" s="87" t="s">
        <v>401</v>
      </c>
      <c r="C122" s="81">
        <f>VLOOKUP(GroupVertices[[#This Row],[Vertex]],Vertices[],MATCH("ID",Vertices[[#Headers],[Vertex]:[Top Word Pairs in Comment by Salience]],0),FALSE)</f>
        <v>182</v>
      </c>
    </row>
    <row r="123" spans="1:3" ht="15">
      <c r="A123" s="82" t="s">
        <v>1320</v>
      </c>
      <c r="B123" s="87" t="s">
        <v>402</v>
      </c>
      <c r="C123" s="81">
        <f>VLOOKUP(GroupVertices[[#This Row],[Vertex]],Vertices[],MATCH("ID",Vertices[[#Headers],[Vertex]:[Top Word Pairs in Comment by Salience]],0),FALSE)</f>
        <v>183</v>
      </c>
    </row>
    <row r="124" spans="1:3" ht="15">
      <c r="A124" s="82" t="s">
        <v>1321</v>
      </c>
      <c r="B124" s="87" t="s">
        <v>266</v>
      </c>
      <c r="C124" s="81">
        <f>VLOOKUP(GroupVertices[[#This Row],[Vertex]],Vertices[],MATCH("ID",Vertices[[#Headers],[Vertex]:[Top Word Pairs in Comment by Salience]],0),FALSE)</f>
        <v>51</v>
      </c>
    </row>
    <row r="125" spans="1:3" ht="15">
      <c r="A125" s="82" t="s">
        <v>1321</v>
      </c>
      <c r="B125" s="87" t="s">
        <v>265</v>
      </c>
      <c r="C125" s="81">
        <f>VLOOKUP(GroupVertices[[#This Row],[Vertex]],Vertices[],MATCH("ID",Vertices[[#Headers],[Vertex]:[Top Word Pairs in Comment by Salience]],0),FALSE)</f>
        <v>4</v>
      </c>
    </row>
    <row r="126" spans="1:3" ht="15">
      <c r="A126" s="82" t="s">
        <v>1321</v>
      </c>
      <c r="B126" s="87" t="s">
        <v>264</v>
      </c>
      <c r="C126" s="81">
        <f>VLOOKUP(GroupVertices[[#This Row],[Vertex]],Vertices[],MATCH("ID",Vertices[[#Headers],[Vertex]:[Top Word Pairs in Comment by Salience]],0),FALSE)</f>
        <v>50</v>
      </c>
    </row>
    <row r="127" spans="1:3" ht="15">
      <c r="A127" s="82" t="s">
        <v>1321</v>
      </c>
      <c r="B127" s="87" t="s">
        <v>263</v>
      </c>
      <c r="C127" s="81">
        <f>VLOOKUP(GroupVertices[[#This Row],[Vertex]],Vertices[],MATCH("ID",Vertices[[#Headers],[Vertex]:[Top Word Pairs in Comment by Salience]],0),FALSE)</f>
        <v>49</v>
      </c>
    </row>
    <row r="128" spans="1:3" ht="15">
      <c r="A128" s="82" t="s">
        <v>1321</v>
      </c>
      <c r="B128" s="87" t="s">
        <v>262</v>
      </c>
      <c r="C128" s="81">
        <f>VLOOKUP(GroupVertices[[#This Row],[Vertex]],Vertices[],MATCH("ID",Vertices[[#Headers],[Vertex]:[Top Word Pairs in Comment by Salience]],0),FALSE)</f>
        <v>48</v>
      </c>
    </row>
    <row r="129" spans="1:3" ht="15">
      <c r="A129" s="82" t="s">
        <v>1321</v>
      </c>
      <c r="B129" s="87" t="s">
        <v>261</v>
      </c>
      <c r="C129" s="81">
        <f>VLOOKUP(GroupVertices[[#This Row],[Vertex]],Vertices[],MATCH("ID",Vertices[[#Headers],[Vertex]:[Top Word Pairs in Comment by Salience]],0),FALSE)</f>
        <v>47</v>
      </c>
    </row>
    <row r="130" spans="1:3" ht="15">
      <c r="A130" s="82" t="s">
        <v>1321</v>
      </c>
      <c r="B130" s="87" t="s">
        <v>260</v>
      </c>
      <c r="C130" s="81">
        <f>VLOOKUP(GroupVertices[[#This Row],[Vertex]],Vertices[],MATCH("ID",Vertices[[#Headers],[Vertex]:[Top Word Pairs in Comment by Salience]],0),FALSE)</f>
        <v>46</v>
      </c>
    </row>
    <row r="131" spans="1:3" ht="15">
      <c r="A131" s="82" t="s">
        <v>1321</v>
      </c>
      <c r="B131" s="87" t="s">
        <v>237</v>
      </c>
      <c r="C131" s="81">
        <f>VLOOKUP(GroupVertices[[#This Row],[Vertex]],Vertices[],MATCH("ID",Vertices[[#Headers],[Vertex]:[Top Word Pairs in Comment by Salience]],0),FALSE)</f>
        <v>26</v>
      </c>
    </row>
    <row r="132" spans="1:3" ht="15">
      <c r="A132" s="82" t="s">
        <v>1321</v>
      </c>
      <c r="B132" s="87" t="s">
        <v>236</v>
      </c>
      <c r="C132" s="81">
        <f>VLOOKUP(GroupVertices[[#This Row],[Vertex]],Vertices[],MATCH("ID",Vertices[[#Headers],[Vertex]:[Top Word Pairs in Comment by Salience]],0),FALSE)</f>
        <v>25</v>
      </c>
    </row>
    <row r="133" spans="1:3" ht="15">
      <c r="A133" s="82" t="s">
        <v>1321</v>
      </c>
      <c r="B133" s="87" t="s">
        <v>235</v>
      </c>
      <c r="C133" s="81">
        <f>VLOOKUP(GroupVertices[[#This Row],[Vertex]],Vertices[],MATCH("ID",Vertices[[#Headers],[Vertex]:[Top Word Pairs in Comment by Salience]],0),FALSE)</f>
        <v>24</v>
      </c>
    </row>
    <row r="134" spans="1:3" ht="15">
      <c r="A134" s="82" t="s">
        <v>1321</v>
      </c>
      <c r="B134" s="87" t="s">
        <v>234</v>
      </c>
      <c r="C134" s="81">
        <f>VLOOKUP(GroupVertices[[#This Row],[Vertex]],Vertices[],MATCH("ID",Vertices[[#Headers],[Vertex]:[Top Word Pairs in Comment by Salience]],0),FALSE)</f>
        <v>23</v>
      </c>
    </row>
    <row r="135" spans="1:3" ht="15">
      <c r="A135" s="82" t="s">
        <v>1321</v>
      </c>
      <c r="B135" s="87" t="s">
        <v>233</v>
      </c>
      <c r="C135" s="81">
        <f>VLOOKUP(GroupVertices[[#This Row],[Vertex]],Vertices[],MATCH("ID",Vertices[[#Headers],[Vertex]:[Top Word Pairs in Comment by Salience]],0),FALSE)</f>
        <v>22</v>
      </c>
    </row>
    <row r="136" spans="1:3" ht="15">
      <c r="A136" s="82" t="s">
        <v>1321</v>
      </c>
      <c r="B136" s="87" t="s">
        <v>232</v>
      </c>
      <c r="C136" s="81">
        <f>VLOOKUP(GroupVertices[[#This Row],[Vertex]],Vertices[],MATCH("ID",Vertices[[#Headers],[Vertex]:[Top Word Pairs in Comment by Salience]],0),FALSE)</f>
        <v>21</v>
      </c>
    </row>
    <row r="137" spans="1:3" ht="15">
      <c r="A137" s="82" t="s">
        <v>1321</v>
      </c>
      <c r="B137" s="87" t="s">
        <v>231</v>
      </c>
      <c r="C137" s="81">
        <f>VLOOKUP(GroupVertices[[#This Row],[Vertex]],Vertices[],MATCH("ID",Vertices[[#Headers],[Vertex]:[Top Word Pairs in Comment by Salience]],0),FALSE)</f>
        <v>20</v>
      </c>
    </row>
    <row r="138" spans="1:3" ht="15">
      <c r="A138" s="82" t="s">
        <v>1321</v>
      </c>
      <c r="B138" s="87" t="s">
        <v>230</v>
      </c>
      <c r="C138" s="81">
        <f>VLOOKUP(GroupVertices[[#This Row],[Vertex]],Vertices[],MATCH("ID",Vertices[[#Headers],[Vertex]:[Top Word Pairs in Comment by Salience]],0),FALSE)</f>
        <v>19</v>
      </c>
    </row>
    <row r="139" spans="1:3" ht="15">
      <c r="A139" s="82" t="s">
        <v>1321</v>
      </c>
      <c r="B139" s="87" t="s">
        <v>229</v>
      </c>
      <c r="C139" s="81">
        <f>VLOOKUP(GroupVertices[[#This Row],[Vertex]],Vertices[],MATCH("ID",Vertices[[#Headers],[Vertex]:[Top Word Pairs in Comment by Salience]],0),FALSE)</f>
        <v>18</v>
      </c>
    </row>
    <row r="140" spans="1:3" ht="15">
      <c r="A140" s="82" t="s">
        <v>1321</v>
      </c>
      <c r="B140" s="87" t="s">
        <v>228</v>
      </c>
      <c r="C140" s="81">
        <f>VLOOKUP(GroupVertices[[#This Row],[Vertex]],Vertices[],MATCH("ID",Vertices[[#Headers],[Vertex]:[Top Word Pairs in Comment by Salience]],0),FALSE)</f>
        <v>17</v>
      </c>
    </row>
    <row r="141" spans="1:3" ht="15">
      <c r="A141" s="82" t="s">
        <v>1321</v>
      </c>
      <c r="B141" s="87" t="s">
        <v>227</v>
      </c>
      <c r="C141" s="81">
        <f>VLOOKUP(GroupVertices[[#This Row],[Vertex]],Vertices[],MATCH("ID",Vertices[[#Headers],[Vertex]:[Top Word Pairs in Comment by Salience]],0),FALSE)</f>
        <v>16</v>
      </c>
    </row>
    <row r="142" spans="1:3" ht="15">
      <c r="A142" s="82" t="s">
        <v>1321</v>
      </c>
      <c r="B142" s="87" t="s">
        <v>226</v>
      </c>
      <c r="C142" s="81">
        <f>VLOOKUP(GroupVertices[[#This Row],[Vertex]],Vertices[],MATCH("ID",Vertices[[#Headers],[Vertex]:[Top Word Pairs in Comment by Salience]],0),FALSE)</f>
        <v>15</v>
      </c>
    </row>
    <row r="143" spans="1:3" ht="15">
      <c r="A143" s="82" t="s">
        <v>1321</v>
      </c>
      <c r="B143" s="87" t="s">
        <v>225</v>
      </c>
      <c r="C143" s="81">
        <f>VLOOKUP(GroupVertices[[#This Row],[Vertex]],Vertices[],MATCH("ID",Vertices[[#Headers],[Vertex]:[Top Word Pairs in Comment by Salience]],0),FALSE)</f>
        <v>14</v>
      </c>
    </row>
    <row r="144" spans="1:3" ht="15">
      <c r="A144" s="82" t="s">
        <v>1321</v>
      </c>
      <c r="B144" s="87" t="s">
        <v>224</v>
      </c>
      <c r="C144" s="81">
        <f>VLOOKUP(GroupVertices[[#This Row],[Vertex]],Vertices[],MATCH("ID",Vertices[[#Headers],[Vertex]:[Top Word Pairs in Comment by Salience]],0),FALSE)</f>
        <v>13</v>
      </c>
    </row>
    <row r="145" spans="1:3" ht="15">
      <c r="A145" s="82" t="s">
        <v>1321</v>
      </c>
      <c r="B145" s="87" t="s">
        <v>223</v>
      </c>
      <c r="C145" s="81">
        <f>VLOOKUP(GroupVertices[[#This Row],[Vertex]],Vertices[],MATCH("ID",Vertices[[#Headers],[Vertex]:[Top Word Pairs in Comment by Salience]],0),FALSE)</f>
        <v>12</v>
      </c>
    </row>
    <row r="146" spans="1:3" ht="15">
      <c r="A146" s="82" t="s">
        <v>1321</v>
      </c>
      <c r="B146" s="87" t="s">
        <v>403</v>
      </c>
      <c r="C146" s="81">
        <f>VLOOKUP(GroupVertices[[#This Row],[Vertex]],Vertices[],MATCH("ID",Vertices[[#Headers],[Vertex]:[Top Word Pairs in Comment by Salience]],0),FALSE)</f>
        <v>11</v>
      </c>
    </row>
    <row r="147" spans="1:3" ht="15">
      <c r="A147" s="82" t="s">
        <v>1322</v>
      </c>
      <c r="B147" s="87" t="s">
        <v>252</v>
      </c>
      <c r="C147" s="81">
        <f>VLOOKUP(GroupVertices[[#This Row],[Vertex]],Vertices[],MATCH("ID",Vertices[[#Headers],[Vertex]:[Top Word Pairs in Comment by Salience]],0),FALSE)</f>
        <v>39</v>
      </c>
    </row>
    <row r="148" spans="1:3" ht="15">
      <c r="A148" s="82" t="s">
        <v>1322</v>
      </c>
      <c r="B148" s="87" t="s">
        <v>251</v>
      </c>
      <c r="C148" s="81">
        <f>VLOOKUP(GroupVertices[[#This Row],[Vertex]],Vertices[],MATCH("ID",Vertices[[#Headers],[Vertex]:[Top Word Pairs in Comment by Salience]],0),FALSE)</f>
        <v>5</v>
      </c>
    </row>
    <row r="149" spans="1:3" ht="15">
      <c r="A149" s="82" t="s">
        <v>1322</v>
      </c>
      <c r="B149" s="87" t="s">
        <v>250</v>
      </c>
      <c r="C149" s="81">
        <f>VLOOKUP(GroupVertices[[#This Row],[Vertex]],Vertices[],MATCH("ID",Vertices[[#Headers],[Vertex]:[Top Word Pairs in Comment by Salience]],0),FALSE)</f>
        <v>38</v>
      </c>
    </row>
    <row r="150" spans="1:3" ht="15">
      <c r="A150" s="82" t="s">
        <v>1322</v>
      </c>
      <c r="B150" s="87" t="s">
        <v>249</v>
      </c>
      <c r="C150" s="81">
        <f>VLOOKUP(GroupVertices[[#This Row],[Vertex]],Vertices[],MATCH("ID",Vertices[[#Headers],[Vertex]:[Top Word Pairs in Comment by Salience]],0),FALSE)</f>
        <v>37</v>
      </c>
    </row>
    <row r="151" spans="1:3" ht="15">
      <c r="A151" s="82" t="s">
        <v>1322</v>
      </c>
      <c r="B151" s="87" t="s">
        <v>248</v>
      </c>
      <c r="C151" s="81">
        <f>VLOOKUP(GroupVertices[[#This Row],[Vertex]],Vertices[],MATCH("ID",Vertices[[#Headers],[Vertex]:[Top Word Pairs in Comment by Salience]],0),FALSE)</f>
        <v>36</v>
      </c>
    </row>
    <row r="152" spans="1:3" ht="15">
      <c r="A152" s="82" t="s">
        <v>1322</v>
      </c>
      <c r="B152" s="87" t="s">
        <v>247</v>
      </c>
      <c r="C152" s="81">
        <f>VLOOKUP(GroupVertices[[#This Row],[Vertex]],Vertices[],MATCH("ID",Vertices[[#Headers],[Vertex]:[Top Word Pairs in Comment by Salience]],0),FALSE)</f>
        <v>35</v>
      </c>
    </row>
    <row r="153" spans="1:3" ht="15">
      <c r="A153" s="82" t="s">
        <v>1322</v>
      </c>
      <c r="B153" s="87" t="s">
        <v>246</v>
      </c>
      <c r="C153" s="81">
        <f>VLOOKUP(GroupVertices[[#This Row],[Vertex]],Vertices[],MATCH("ID",Vertices[[#Headers],[Vertex]:[Top Word Pairs in Comment by Salience]],0),FALSE)</f>
        <v>34</v>
      </c>
    </row>
    <row r="154" spans="1:3" ht="15">
      <c r="A154" s="82" t="s">
        <v>1323</v>
      </c>
      <c r="B154" s="87" t="s">
        <v>243</v>
      </c>
      <c r="C154" s="81">
        <f>VLOOKUP(GroupVertices[[#This Row],[Vertex]],Vertices[],MATCH("ID",Vertices[[#Headers],[Vertex]:[Top Word Pairs in Comment by Salience]],0),FALSE)</f>
        <v>31</v>
      </c>
    </row>
    <row r="155" spans="1:3" ht="15">
      <c r="A155" s="82" t="s">
        <v>1323</v>
      </c>
      <c r="B155" s="87" t="s">
        <v>242</v>
      </c>
      <c r="C155" s="81">
        <f>VLOOKUP(GroupVertices[[#This Row],[Vertex]],Vertices[],MATCH("ID",Vertices[[#Headers],[Vertex]:[Top Word Pairs in Comment by Salience]],0),FALSE)</f>
        <v>6</v>
      </c>
    </row>
    <row r="156" spans="1:3" ht="15">
      <c r="A156" s="82" t="s">
        <v>1323</v>
      </c>
      <c r="B156" s="87" t="s">
        <v>241</v>
      </c>
      <c r="C156" s="81">
        <f>VLOOKUP(GroupVertices[[#This Row],[Vertex]],Vertices[],MATCH("ID",Vertices[[#Headers],[Vertex]:[Top Word Pairs in Comment by Salience]],0),FALSE)</f>
        <v>30</v>
      </c>
    </row>
    <row r="157" spans="1:3" ht="15">
      <c r="A157" s="82" t="s">
        <v>1323</v>
      </c>
      <c r="B157" s="87" t="s">
        <v>240</v>
      </c>
      <c r="C157" s="81">
        <f>VLOOKUP(GroupVertices[[#This Row],[Vertex]],Vertices[],MATCH("ID",Vertices[[#Headers],[Vertex]:[Top Word Pairs in Comment by Salience]],0),FALSE)</f>
        <v>29</v>
      </c>
    </row>
    <row r="158" spans="1:3" ht="15">
      <c r="A158" s="82" t="s">
        <v>1323</v>
      </c>
      <c r="B158" s="87" t="s">
        <v>239</v>
      </c>
      <c r="C158" s="81">
        <f>VLOOKUP(GroupVertices[[#This Row],[Vertex]],Vertices[],MATCH("ID",Vertices[[#Headers],[Vertex]:[Top Word Pairs in Comment by Salience]],0),FALSE)</f>
        <v>28</v>
      </c>
    </row>
    <row r="159" spans="1:3" ht="15">
      <c r="A159" s="82" t="s">
        <v>1323</v>
      </c>
      <c r="B159" s="87" t="s">
        <v>238</v>
      </c>
      <c r="C159" s="81">
        <f>VLOOKUP(GroupVertices[[#This Row],[Vertex]],Vertices[],MATCH("ID",Vertices[[#Headers],[Vertex]:[Top Word Pairs in Comment by Salience]],0),FALSE)</f>
        <v>27</v>
      </c>
    </row>
    <row r="160" spans="1:3" ht="15">
      <c r="A160" s="82" t="s">
        <v>1324</v>
      </c>
      <c r="B160" s="87" t="s">
        <v>271</v>
      </c>
      <c r="C160" s="81">
        <f>VLOOKUP(GroupVertices[[#This Row],[Vertex]],Vertices[],MATCH("ID",Vertices[[#Headers],[Vertex]:[Top Word Pairs in Comment by Salience]],0),FALSE)</f>
        <v>55</v>
      </c>
    </row>
    <row r="161" spans="1:3" ht="15">
      <c r="A161" s="82" t="s">
        <v>1324</v>
      </c>
      <c r="B161" s="87" t="s">
        <v>270</v>
      </c>
      <c r="C161" s="81">
        <f>VLOOKUP(GroupVertices[[#This Row],[Vertex]],Vertices[],MATCH("ID",Vertices[[#Headers],[Vertex]:[Top Word Pairs in Comment by Salience]],0),FALSE)</f>
        <v>7</v>
      </c>
    </row>
    <row r="162" spans="1:3" ht="15">
      <c r="A162" s="82" t="s">
        <v>1324</v>
      </c>
      <c r="B162" s="87" t="s">
        <v>269</v>
      </c>
      <c r="C162" s="81">
        <f>VLOOKUP(GroupVertices[[#This Row],[Vertex]],Vertices[],MATCH("ID",Vertices[[#Headers],[Vertex]:[Top Word Pairs in Comment by Salience]],0),FALSE)</f>
        <v>54</v>
      </c>
    </row>
    <row r="163" spans="1:3" ht="15">
      <c r="A163" s="82" t="s">
        <v>1324</v>
      </c>
      <c r="B163" s="87" t="s">
        <v>268</v>
      </c>
      <c r="C163" s="81">
        <f>VLOOKUP(GroupVertices[[#This Row],[Vertex]],Vertices[],MATCH("ID",Vertices[[#Headers],[Vertex]:[Top Word Pairs in Comment by Salience]],0),FALSE)</f>
        <v>53</v>
      </c>
    </row>
    <row r="164" spans="1:3" ht="15">
      <c r="A164" s="82" t="s">
        <v>1324</v>
      </c>
      <c r="B164" s="87" t="s">
        <v>267</v>
      </c>
      <c r="C164" s="81">
        <f>VLOOKUP(GroupVertices[[#This Row],[Vertex]],Vertices[],MATCH("ID",Vertices[[#Headers],[Vertex]:[Top Word Pairs in Comment by Salience]],0),FALSE)</f>
        <v>52</v>
      </c>
    </row>
    <row r="165" spans="1:3" ht="15">
      <c r="A165" s="82" t="s">
        <v>1325</v>
      </c>
      <c r="B165" s="87" t="s">
        <v>280</v>
      </c>
      <c r="C165" s="81">
        <f>VLOOKUP(GroupVertices[[#This Row],[Vertex]],Vertices[],MATCH("ID",Vertices[[#Headers],[Vertex]:[Top Word Pairs in Comment by Salience]],0),FALSE)</f>
        <v>62</v>
      </c>
    </row>
    <row r="166" spans="1:3" ht="15">
      <c r="A166" s="82" t="s">
        <v>1325</v>
      </c>
      <c r="B166" s="87" t="s">
        <v>279</v>
      </c>
      <c r="C166" s="81">
        <f>VLOOKUP(GroupVertices[[#This Row],[Vertex]],Vertices[],MATCH("ID",Vertices[[#Headers],[Vertex]:[Top Word Pairs in Comment by Salience]],0),FALSE)</f>
        <v>8</v>
      </c>
    </row>
    <row r="167" spans="1:3" ht="15">
      <c r="A167" s="82" t="s">
        <v>1325</v>
      </c>
      <c r="B167" s="87" t="s">
        <v>278</v>
      </c>
      <c r="C167" s="81">
        <f>VLOOKUP(GroupVertices[[#This Row],[Vertex]],Vertices[],MATCH("ID",Vertices[[#Headers],[Vertex]:[Top Word Pairs in Comment by Salience]],0),FALSE)</f>
        <v>61</v>
      </c>
    </row>
    <row r="168" spans="1:3" ht="15">
      <c r="A168" s="82" t="s">
        <v>1325</v>
      </c>
      <c r="B168" s="87" t="s">
        <v>277</v>
      </c>
      <c r="C168" s="81">
        <f>VLOOKUP(GroupVertices[[#This Row],[Vertex]],Vertices[],MATCH("ID",Vertices[[#Headers],[Vertex]:[Top Word Pairs in Comment by Salience]],0),FALSE)</f>
        <v>60</v>
      </c>
    </row>
    <row r="169" spans="1:3" ht="15">
      <c r="A169" s="82" t="s">
        <v>1326</v>
      </c>
      <c r="B169" s="87" t="s">
        <v>276</v>
      </c>
      <c r="C169" s="81">
        <f>VLOOKUP(GroupVertices[[#This Row],[Vertex]],Vertices[],MATCH("ID",Vertices[[#Headers],[Vertex]:[Top Word Pairs in Comment by Salience]],0),FALSE)</f>
        <v>59</v>
      </c>
    </row>
    <row r="170" spans="1:3" ht="15">
      <c r="A170" s="82" t="s">
        <v>1326</v>
      </c>
      <c r="B170" s="87" t="s">
        <v>275</v>
      </c>
      <c r="C170" s="81">
        <f>VLOOKUP(GroupVertices[[#This Row],[Vertex]],Vertices[],MATCH("ID",Vertices[[#Headers],[Vertex]:[Top Word Pairs in Comment by Salience]],0),FALSE)</f>
        <v>10</v>
      </c>
    </row>
    <row r="171" spans="1:3" ht="15">
      <c r="A171" s="82" t="s">
        <v>1326</v>
      </c>
      <c r="B171" s="87" t="s">
        <v>274</v>
      </c>
      <c r="C171" s="81">
        <f>VLOOKUP(GroupVertices[[#This Row],[Vertex]],Vertices[],MATCH("ID",Vertices[[#Headers],[Vertex]:[Top Word Pairs in Comment by Salience]],0),FALSE)</f>
        <v>58</v>
      </c>
    </row>
    <row r="172" spans="1:3" ht="15">
      <c r="A172" s="82" t="s">
        <v>1327</v>
      </c>
      <c r="B172" s="87" t="s">
        <v>255</v>
      </c>
      <c r="C172" s="81">
        <f>VLOOKUP(GroupVertices[[#This Row],[Vertex]],Vertices[],MATCH("ID",Vertices[[#Headers],[Vertex]:[Top Word Pairs in Comment by Salience]],0),FALSE)</f>
        <v>41</v>
      </c>
    </row>
    <row r="173" spans="1:3" ht="15">
      <c r="A173" s="82" t="s">
        <v>1327</v>
      </c>
      <c r="B173" s="87" t="s">
        <v>254</v>
      </c>
      <c r="C173" s="81">
        <f>VLOOKUP(GroupVertices[[#This Row],[Vertex]],Vertices[],MATCH("ID",Vertices[[#Headers],[Vertex]:[Top Word Pairs in Comment by Salience]],0),FALSE)</f>
        <v>9</v>
      </c>
    </row>
    <row r="174" spans="1:3" ht="15">
      <c r="A174" s="82" t="s">
        <v>1327</v>
      </c>
      <c r="B174" s="87" t="s">
        <v>253</v>
      </c>
      <c r="C174" s="81">
        <f>VLOOKUP(GroupVertices[[#This Row],[Vertex]],Vertices[],MATCH("ID",Vertices[[#Headers],[Vertex]:[Top Word Pairs in Comment by Salience]],0),FALSE)</f>
        <v>40</v>
      </c>
    </row>
    <row r="175" spans="1:3" ht="15">
      <c r="A175" s="82" t="s">
        <v>1328</v>
      </c>
      <c r="B175" s="87" t="s">
        <v>273</v>
      </c>
      <c r="C175" s="81">
        <f>VLOOKUP(GroupVertices[[#This Row],[Vertex]],Vertices[],MATCH("ID",Vertices[[#Headers],[Vertex]:[Top Word Pairs in Comment by Salience]],0),FALSE)</f>
        <v>57</v>
      </c>
    </row>
    <row r="176" spans="1:3" ht="15">
      <c r="A176" s="82" t="s">
        <v>1328</v>
      </c>
      <c r="B176" s="87" t="s">
        <v>272</v>
      </c>
      <c r="C176" s="81">
        <f>VLOOKUP(GroupVertices[[#This Row],[Vertex]],Vertices[],MATCH("ID",Vertices[[#Headers],[Vertex]:[Top Word Pairs in Comment by Salience]],0),FALSE)</f>
        <v>56</v>
      </c>
    </row>
    <row r="177" spans="1:3" ht="15">
      <c r="A177" s="82" t="s">
        <v>1329</v>
      </c>
      <c r="B177" s="87" t="s">
        <v>259</v>
      </c>
      <c r="C177" s="81">
        <f>VLOOKUP(GroupVertices[[#This Row],[Vertex]],Vertices[],MATCH("ID",Vertices[[#Headers],[Vertex]:[Top Word Pairs in Comment by Salience]],0),FALSE)</f>
        <v>45</v>
      </c>
    </row>
    <row r="178" spans="1:3" ht="15">
      <c r="A178" s="82" t="s">
        <v>1329</v>
      </c>
      <c r="B178" s="87" t="s">
        <v>258</v>
      </c>
      <c r="C178" s="81">
        <f>VLOOKUP(GroupVertices[[#This Row],[Vertex]],Vertices[],MATCH("ID",Vertices[[#Headers],[Vertex]:[Top Word Pairs in Comment by Salience]],0),FALSE)</f>
        <v>44</v>
      </c>
    </row>
    <row r="179" spans="1:3" ht="15">
      <c r="A179" s="82" t="s">
        <v>1330</v>
      </c>
      <c r="B179" s="87" t="s">
        <v>257</v>
      </c>
      <c r="C179" s="81">
        <f>VLOOKUP(GroupVertices[[#This Row],[Vertex]],Vertices[],MATCH("ID",Vertices[[#Headers],[Vertex]:[Top Word Pairs in Comment by Salience]],0),FALSE)</f>
        <v>43</v>
      </c>
    </row>
    <row r="180" spans="1:3" ht="15">
      <c r="A180" s="82" t="s">
        <v>1330</v>
      </c>
      <c r="B180" s="87" t="s">
        <v>256</v>
      </c>
      <c r="C180" s="81">
        <f>VLOOKUP(GroupVertices[[#This Row],[Vertex]],Vertices[],MATCH("ID",Vertices[[#Headers],[Vertex]:[Top Word Pairs in Comment by Salience]],0),FALSE)</f>
        <v>42</v>
      </c>
    </row>
    <row r="181" spans="1:3" ht="15">
      <c r="A181" s="82" t="s">
        <v>1331</v>
      </c>
      <c r="B181" s="87" t="s">
        <v>245</v>
      </c>
      <c r="C181" s="81">
        <f>VLOOKUP(GroupVertices[[#This Row],[Vertex]],Vertices[],MATCH("ID",Vertices[[#Headers],[Vertex]:[Top Word Pairs in Comment by Salience]],0),FALSE)</f>
        <v>33</v>
      </c>
    </row>
    <row r="182" spans="1:3" ht="15">
      <c r="A182" s="82" t="s">
        <v>1331</v>
      </c>
      <c r="B182" s="87" t="s">
        <v>244</v>
      </c>
      <c r="C182" s="81">
        <f>VLOOKUP(GroupVertices[[#This Row],[Vertex]],Vertices[],MATCH("ID",Vertices[[#Headers],[Vertex]:[Top Word Pairs in Comment by Salience]],0),FALSE)</f>
        <v>32</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1544</v>
      </c>
      <c r="B2" s="35" t="s">
        <v>192</v>
      </c>
      <c r="D2" s="32">
        <f>MIN(Vertices[Degree])</f>
        <v>0</v>
      </c>
      <c r="E2" s="3">
        <f>COUNTIF(Vertices[Degree],"&gt;= "&amp;D2)-COUNTIF(Vertices[Degree],"&gt;="&amp;D3)</f>
        <v>0</v>
      </c>
      <c r="F2" s="38">
        <f>MIN(Vertices[In-Degree])</f>
        <v>0</v>
      </c>
      <c r="G2" s="39">
        <f>COUNTIF(Vertices[In-Degree],"&gt;= "&amp;F2)-COUNTIF(Vertices[In-Degree],"&gt;="&amp;F3)</f>
        <v>173</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88</v>
      </c>
      <c r="P2" s="38">
        <f>MIN(Vertices[PageRank])</f>
        <v>0.004811</v>
      </c>
      <c r="Q2" s="39">
        <f>COUNTIF(Vertices[PageRank],"&gt;= "&amp;P2)-COUNTIF(Vertices[PageRank],"&gt;="&amp;P3)</f>
        <v>175</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2.735294117647059</v>
      </c>
      <c r="G3" s="41">
        <f>COUNTIF(Vertices[In-Degree],"&gt;= "&amp;F3)-COUNTIF(Vertices[In-Degree],"&gt;="&amp;F4)</f>
        <v>4</v>
      </c>
      <c r="H3" s="40">
        <f aca="true" t="shared" si="3" ref="H3:H35">H2+($H$36-$H$2)/BinDivisor</f>
        <v>1</v>
      </c>
      <c r="I3" s="41">
        <f>COUNTIF(Vertices[Out-Degree],"&gt;= "&amp;H3)-COUNTIF(Vertices[Out-Degree],"&gt;="&amp;H4)</f>
        <v>0</v>
      </c>
      <c r="J3" s="40">
        <f aca="true" t="shared" si="4" ref="J3:J35">J2+($J$36-$J$2)/BinDivisor</f>
        <v>246.23529411764707</v>
      </c>
      <c r="K3" s="41">
        <f>COUNTIF(Vertices[Betweenness Centrality],"&gt;= "&amp;J3)-COUNTIF(Vertices[Betweenness Centrality],"&gt;="&amp;J4)</f>
        <v>1</v>
      </c>
      <c r="L3" s="40">
        <f aca="true" t="shared" si="5" ref="L3:L35">L2+($L$36-$L$2)/BinDivisor</f>
        <v>0.015032676470588235</v>
      </c>
      <c r="M3" s="41">
        <f>COUNTIF(Vertices[Closeness Centrality],"&gt;= "&amp;L3)-COUNTIF(Vertices[Closeness Centrality],"&gt;="&amp;L4)</f>
        <v>14</v>
      </c>
      <c r="N3" s="40">
        <f aca="true" t="shared" si="6" ref="N3:N35">N2+($N$36-$N$2)/BinDivisor</f>
        <v>0.021331205882352943</v>
      </c>
      <c r="O3" s="41">
        <f>COUNTIF(Vertices[Eigenvector Centrality],"&gt;= "&amp;N3)-COUNTIF(Vertices[Eigenvector Centrality],"&gt;="&amp;N4)</f>
        <v>0</v>
      </c>
      <c r="P3" s="40">
        <f aca="true" t="shared" si="7" ref="P3:P35">P2+($P$36-$P$2)/BinDivisor</f>
        <v>0.006763823529411765</v>
      </c>
      <c r="Q3" s="41">
        <f>COUNTIF(Vertices[PageRank],"&gt;= "&amp;P3)-COUNTIF(Vertices[PageRank],"&gt;="&amp;P4)</f>
        <v>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5.470588235294118</v>
      </c>
      <c r="G4" s="39">
        <f>COUNTIF(Vertices[In-Degree],"&gt;= "&amp;F4)-COUNTIF(Vertices[In-Degree],"&gt;="&amp;F5)</f>
        <v>2</v>
      </c>
      <c r="H4" s="38">
        <f t="shared" si="3"/>
        <v>1</v>
      </c>
      <c r="I4" s="39">
        <f>COUNTIF(Vertices[Out-Degree],"&gt;= "&amp;H4)-COUNTIF(Vertices[Out-Degree],"&gt;="&amp;H5)</f>
        <v>0</v>
      </c>
      <c r="J4" s="38">
        <f t="shared" si="4"/>
        <v>492.47058823529414</v>
      </c>
      <c r="K4" s="39">
        <f>COUNTIF(Vertices[Betweenness Centrality],"&gt;= "&amp;J4)-COUNTIF(Vertices[Betweenness Centrality],"&gt;="&amp;J5)</f>
        <v>0</v>
      </c>
      <c r="L4" s="38">
        <f t="shared" si="5"/>
        <v>0.03006535294117647</v>
      </c>
      <c r="M4" s="39">
        <f>COUNTIF(Vertices[Closeness Centrality],"&gt;= "&amp;L4)-COUNTIF(Vertices[Closeness Centrality],"&gt;="&amp;L5)</f>
        <v>1</v>
      </c>
      <c r="N4" s="38">
        <f t="shared" si="6"/>
        <v>0.042662411764705886</v>
      </c>
      <c r="O4" s="39">
        <f>COUNTIF(Vertices[Eigenvector Centrality],"&gt;= "&amp;N4)-COUNTIF(Vertices[Eigenvector Centrality],"&gt;="&amp;N5)</f>
        <v>0</v>
      </c>
      <c r="P4" s="38">
        <f t="shared" si="7"/>
        <v>0.00871664705882353</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8.205882352941178</v>
      </c>
      <c r="G5" s="41">
        <f>COUNTIF(Vertices[In-Degree],"&gt;= "&amp;F5)-COUNTIF(Vertices[In-Degree],"&gt;="&amp;F6)</f>
        <v>0</v>
      </c>
      <c r="H5" s="40">
        <f t="shared" si="3"/>
        <v>1</v>
      </c>
      <c r="I5" s="41">
        <f>COUNTIF(Vertices[Out-Degree],"&gt;= "&amp;H5)-COUNTIF(Vertices[Out-Degree],"&gt;="&amp;H6)</f>
        <v>0</v>
      </c>
      <c r="J5" s="40">
        <f t="shared" si="4"/>
        <v>738.7058823529412</v>
      </c>
      <c r="K5" s="41">
        <f>COUNTIF(Vertices[Betweenness Centrality],"&gt;= "&amp;J5)-COUNTIF(Vertices[Betweenness Centrality],"&gt;="&amp;J6)</f>
        <v>0</v>
      </c>
      <c r="L5" s="40">
        <f t="shared" si="5"/>
        <v>0.045098029411764703</v>
      </c>
      <c r="M5" s="41">
        <f>COUNTIF(Vertices[Closeness Centrality],"&gt;= "&amp;L5)-COUNTIF(Vertices[Closeness Centrality],"&gt;="&amp;L6)</f>
        <v>0</v>
      </c>
      <c r="N5" s="40">
        <f t="shared" si="6"/>
        <v>0.06399361764705883</v>
      </c>
      <c r="O5" s="41">
        <f>COUNTIF(Vertices[Eigenvector Centrality],"&gt;= "&amp;N5)-COUNTIF(Vertices[Eigenvector Centrality],"&gt;="&amp;N6)</f>
        <v>92</v>
      </c>
      <c r="P5" s="40">
        <f t="shared" si="7"/>
        <v>0.010669470588235296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181</v>
      </c>
      <c r="D6" s="33">
        <f t="shared" si="1"/>
        <v>0</v>
      </c>
      <c r="E6" s="3">
        <f>COUNTIF(Vertices[Degree],"&gt;= "&amp;D6)-COUNTIF(Vertices[Degree],"&gt;="&amp;D7)</f>
        <v>0</v>
      </c>
      <c r="F6" s="38">
        <f t="shared" si="2"/>
        <v>10.941176470588236</v>
      </c>
      <c r="G6" s="39">
        <f>COUNTIF(Vertices[In-Degree],"&gt;= "&amp;F6)-COUNTIF(Vertices[In-Degree],"&gt;="&amp;F7)</f>
        <v>0</v>
      </c>
      <c r="H6" s="38">
        <f t="shared" si="3"/>
        <v>1</v>
      </c>
      <c r="I6" s="39">
        <f>COUNTIF(Vertices[Out-Degree],"&gt;= "&amp;H6)-COUNTIF(Vertices[Out-Degree],"&gt;="&amp;H7)</f>
        <v>0</v>
      </c>
      <c r="J6" s="38">
        <f t="shared" si="4"/>
        <v>984.9411764705883</v>
      </c>
      <c r="K6" s="39">
        <f>COUNTIF(Vertices[Betweenness Centrality],"&gt;= "&amp;J6)-COUNTIF(Vertices[Betweenness Centrality],"&gt;="&amp;J7)</f>
        <v>0</v>
      </c>
      <c r="L6" s="38">
        <f t="shared" si="5"/>
        <v>0.06013070588235294</v>
      </c>
      <c r="M6" s="39">
        <f>COUNTIF(Vertices[Closeness Centrality],"&gt;= "&amp;L6)-COUNTIF(Vertices[Closeness Centrality],"&gt;="&amp;L7)</f>
        <v>22</v>
      </c>
      <c r="N6" s="38">
        <f t="shared" si="6"/>
        <v>0.08532482352941177</v>
      </c>
      <c r="O6" s="39">
        <f>COUNTIF(Vertices[Eigenvector Centrality],"&gt;= "&amp;N6)-COUNTIF(Vertices[Eigenvector Centrality],"&gt;="&amp;N7)</f>
        <v>0</v>
      </c>
      <c r="P6" s="38">
        <f t="shared" si="7"/>
        <v>0.012622294117647061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13.676470588235293</v>
      </c>
      <c r="G7" s="41">
        <f>COUNTIF(Vertices[In-Degree],"&gt;= "&amp;F7)-COUNTIF(Vertices[In-Degree],"&gt;="&amp;F8)</f>
        <v>0</v>
      </c>
      <c r="H7" s="40">
        <f t="shared" si="3"/>
        <v>1</v>
      </c>
      <c r="I7" s="41">
        <f>COUNTIF(Vertices[Out-Degree],"&gt;= "&amp;H7)-COUNTIF(Vertices[Out-Degree],"&gt;="&amp;H8)</f>
        <v>0</v>
      </c>
      <c r="J7" s="40">
        <f t="shared" si="4"/>
        <v>1231.1764705882354</v>
      </c>
      <c r="K7" s="41">
        <f>COUNTIF(Vertices[Betweenness Centrality],"&gt;= "&amp;J7)-COUNTIF(Vertices[Betweenness Centrality],"&gt;="&amp;J8)</f>
        <v>0</v>
      </c>
      <c r="L7" s="40">
        <f t="shared" si="5"/>
        <v>0.07516338235294118</v>
      </c>
      <c r="M7" s="41">
        <f>COUNTIF(Vertices[Closeness Centrality],"&gt;= "&amp;L7)-COUNTIF(Vertices[Closeness Centrality],"&gt;="&amp;L8)</f>
        <v>0</v>
      </c>
      <c r="N7" s="40">
        <f t="shared" si="6"/>
        <v>0.10665602941176472</v>
      </c>
      <c r="O7" s="41">
        <f>COUNTIF(Vertices[Eigenvector Centrality],"&gt;= "&amp;N7)-COUNTIF(Vertices[Eigenvector Centrality],"&gt;="&amp;N8)</f>
        <v>0</v>
      </c>
      <c r="P7" s="40">
        <f t="shared" si="7"/>
        <v>0.014575117647058827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16.41176470588235</v>
      </c>
      <c r="G8" s="39">
        <f>COUNTIF(Vertices[In-Degree],"&gt;= "&amp;F8)-COUNTIF(Vertices[In-Degree],"&gt;="&amp;F9)</f>
        <v>0</v>
      </c>
      <c r="H8" s="38">
        <f t="shared" si="3"/>
        <v>1</v>
      </c>
      <c r="I8" s="39">
        <f>COUNTIF(Vertices[Out-Degree],"&gt;= "&amp;H8)-COUNTIF(Vertices[Out-Degree],"&gt;="&amp;H9)</f>
        <v>0</v>
      </c>
      <c r="J8" s="38">
        <f t="shared" si="4"/>
        <v>1477.4117647058824</v>
      </c>
      <c r="K8" s="39">
        <f>COUNTIF(Vertices[Betweenness Centrality],"&gt;= "&amp;J8)-COUNTIF(Vertices[Betweenness Centrality],"&gt;="&amp;J9)</f>
        <v>0</v>
      </c>
      <c r="L8" s="38">
        <f t="shared" si="5"/>
        <v>0.09019605882352941</v>
      </c>
      <c r="M8" s="39">
        <f>COUNTIF(Vertices[Closeness Centrality],"&gt;= "&amp;L8)-COUNTIF(Vertices[Closeness Centrality],"&gt;="&amp;L9)</f>
        <v>0</v>
      </c>
      <c r="N8" s="38">
        <f t="shared" si="6"/>
        <v>0.12798723529411765</v>
      </c>
      <c r="O8" s="39">
        <f>COUNTIF(Vertices[Eigenvector Centrality],"&gt;= "&amp;N8)-COUNTIF(Vertices[Eigenvector Centrality],"&gt;="&amp;N9)</f>
        <v>0</v>
      </c>
      <c r="P8" s="38">
        <f t="shared" si="7"/>
        <v>0.016527941176470592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19.14705882352941</v>
      </c>
      <c r="G9" s="41">
        <f>COUNTIF(Vertices[In-Degree],"&gt;= "&amp;F9)-COUNTIF(Vertices[In-Degree],"&gt;="&amp;F10)</f>
        <v>0</v>
      </c>
      <c r="H9" s="40">
        <f t="shared" si="3"/>
        <v>1</v>
      </c>
      <c r="I9" s="41">
        <f>COUNTIF(Vertices[Out-Degree],"&gt;= "&amp;H9)-COUNTIF(Vertices[Out-Degree],"&gt;="&amp;H10)</f>
        <v>0</v>
      </c>
      <c r="J9" s="40">
        <f t="shared" si="4"/>
        <v>1723.6470588235295</v>
      </c>
      <c r="K9" s="41">
        <f>COUNTIF(Vertices[Betweenness Centrality],"&gt;= "&amp;J9)-COUNTIF(Vertices[Betweenness Centrality],"&gt;="&amp;J10)</f>
        <v>0</v>
      </c>
      <c r="L9" s="40">
        <f t="shared" si="5"/>
        <v>0.10522873529411764</v>
      </c>
      <c r="M9" s="41">
        <f>COUNTIF(Vertices[Closeness Centrality],"&gt;= "&amp;L9)-COUNTIF(Vertices[Closeness Centrality],"&gt;="&amp;L10)</f>
        <v>0</v>
      </c>
      <c r="N9" s="40">
        <f t="shared" si="6"/>
        <v>0.14931844117647058</v>
      </c>
      <c r="O9" s="41">
        <f>COUNTIF(Vertices[Eigenvector Centrality],"&gt;= "&amp;N9)-COUNTIF(Vertices[Eigenvector Centrality],"&gt;="&amp;N10)</f>
        <v>0</v>
      </c>
      <c r="P9" s="40">
        <f t="shared" si="7"/>
        <v>0.018480764705882356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41</v>
      </c>
      <c r="D10" s="33">
        <f t="shared" si="1"/>
        <v>0</v>
      </c>
      <c r="E10" s="3">
        <f>COUNTIF(Vertices[Degree],"&gt;= "&amp;D10)-COUNTIF(Vertices[Degree],"&gt;="&amp;D11)</f>
        <v>0</v>
      </c>
      <c r="F10" s="38">
        <f t="shared" si="2"/>
        <v>21.882352941176467</v>
      </c>
      <c r="G10" s="39">
        <f>COUNTIF(Vertices[In-Degree],"&gt;= "&amp;F10)-COUNTIF(Vertices[In-Degree],"&gt;="&amp;F11)</f>
        <v>1</v>
      </c>
      <c r="H10" s="38">
        <f t="shared" si="3"/>
        <v>1</v>
      </c>
      <c r="I10" s="39">
        <f>COUNTIF(Vertices[Out-Degree],"&gt;= "&amp;H10)-COUNTIF(Vertices[Out-Degree],"&gt;="&amp;H11)</f>
        <v>0</v>
      </c>
      <c r="J10" s="38">
        <f t="shared" si="4"/>
        <v>1969.8823529411766</v>
      </c>
      <c r="K10" s="39">
        <f>COUNTIF(Vertices[Betweenness Centrality],"&gt;= "&amp;J10)-COUNTIF(Vertices[Betweenness Centrality],"&gt;="&amp;J11)</f>
        <v>0</v>
      </c>
      <c r="L10" s="38">
        <f t="shared" si="5"/>
        <v>0.12026141176470587</v>
      </c>
      <c r="M10" s="39">
        <f>COUNTIF(Vertices[Closeness Centrality],"&gt;= "&amp;L10)-COUNTIF(Vertices[Closeness Centrality],"&gt;="&amp;L11)</f>
        <v>1</v>
      </c>
      <c r="N10" s="38">
        <f t="shared" si="6"/>
        <v>0.17064964705882352</v>
      </c>
      <c r="O10" s="39">
        <f>COUNTIF(Vertices[Eigenvector Centrality],"&gt;= "&amp;N10)-COUNTIF(Vertices[Eigenvector Centrality],"&gt;="&amp;N11)</f>
        <v>0</v>
      </c>
      <c r="P10" s="38">
        <f t="shared" si="7"/>
        <v>0.02043358823529412</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24.617647058823525</v>
      </c>
      <c r="G11" s="41">
        <f>COUNTIF(Vertices[In-Degree],"&gt;= "&amp;F11)-COUNTIF(Vertices[In-Degree],"&gt;="&amp;F12)</f>
        <v>0</v>
      </c>
      <c r="H11" s="40">
        <f t="shared" si="3"/>
        <v>1</v>
      </c>
      <c r="I11" s="41">
        <f>COUNTIF(Vertices[Out-Degree],"&gt;= "&amp;H11)-COUNTIF(Vertices[Out-Degree],"&gt;="&amp;H12)</f>
        <v>0</v>
      </c>
      <c r="J11" s="40">
        <f t="shared" si="4"/>
        <v>2216.1176470588234</v>
      </c>
      <c r="K11" s="41">
        <f>COUNTIF(Vertices[Betweenness Centrality],"&gt;= "&amp;J11)-COUNTIF(Vertices[Betweenness Centrality],"&gt;="&amp;J12)</f>
        <v>0</v>
      </c>
      <c r="L11" s="40">
        <f t="shared" si="5"/>
        <v>0.1352940882352941</v>
      </c>
      <c r="M11" s="41">
        <f>COUNTIF(Vertices[Closeness Centrality],"&gt;= "&amp;L11)-COUNTIF(Vertices[Closeness Centrality],"&gt;="&amp;L12)</f>
        <v>0</v>
      </c>
      <c r="N11" s="40">
        <f t="shared" si="6"/>
        <v>0.19198085294117645</v>
      </c>
      <c r="O11" s="41">
        <f>COUNTIF(Vertices[Eigenvector Centrality],"&gt;= "&amp;N11)-COUNTIF(Vertices[Eigenvector Centrality],"&gt;="&amp;N12)</f>
        <v>0</v>
      </c>
      <c r="P11" s="40">
        <f t="shared" si="7"/>
        <v>0.022386411764705884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27.352941176470583</v>
      </c>
      <c r="G12" s="39">
        <f>COUNTIF(Vertices[In-Degree],"&gt;= "&amp;F12)-COUNTIF(Vertices[In-Degree],"&gt;="&amp;F13)</f>
        <v>0</v>
      </c>
      <c r="H12" s="38">
        <f t="shared" si="3"/>
        <v>1</v>
      </c>
      <c r="I12" s="39">
        <f>COUNTIF(Vertices[Out-Degree],"&gt;= "&amp;H12)-COUNTIF(Vertices[Out-Degree],"&gt;="&amp;H13)</f>
        <v>0</v>
      </c>
      <c r="J12" s="38">
        <f t="shared" si="4"/>
        <v>2462.3529411764703</v>
      </c>
      <c r="K12" s="39">
        <f>COUNTIF(Vertices[Betweenness Centrality],"&gt;= "&amp;J12)-COUNTIF(Vertices[Betweenness Centrality],"&gt;="&amp;J13)</f>
        <v>0</v>
      </c>
      <c r="L12" s="38">
        <f t="shared" si="5"/>
        <v>0.15032676470588233</v>
      </c>
      <c r="M12" s="39">
        <f>COUNTIF(Vertices[Closeness Centrality],"&gt;= "&amp;L12)-COUNTIF(Vertices[Closeness Centrality],"&gt;="&amp;L13)</f>
        <v>0</v>
      </c>
      <c r="N12" s="38">
        <f t="shared" si="6"/>
        <v>0.21331205882352938</v>
      </c>
      <c r="O12" s="39">
        <f>COUNTIF(Vertices[Eigenvector Centrality],"&gt;= "&amp;N12)-COUNTIF(Vertices[Eigenvector Centrality],"&gt;="&amp;N13)</f>
        <v>0</v>
      </c>
      <c r="P12" s="38">
        <f t="shared" si="7"/>
        <v>0.024339235294117648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30.08823529411764</v>
      </c>
      <c r="G13" s="41">
        <f>COUNTIF(Vertices[In-Degree],"&gt;= "&amp;F13)-COUNTIF(Vertices[In-Degree],"&gt;="&amp;F14)</f>
        <v>0</v>
      </c>
      <c r="H13" s="40">
        <f t="shared" si="3"/>
        <v>1</v>
      </c>
      <c r="I13" s="41">
        <f>COUNTIF(Vertices[Out-Degree],"&gt;= "&amp;H13)-COUNTIF(Vertices[Out-Degree],"&gt;="&amp;H14)</f>
        <v>0</v>
      </c>
      <c r="J13" s="40">
        <f t="shared" si="4"/>
        <v>2708.588235294117</v>
      </c>
      <c r="K13" s="41">
        <f>COUNTIF(Vertices[Betweenness Centrality],"&gt;= "&amp;J13)-COUNTIF(Vertices[Betweenness Centrality],"&gt;="&amp;J14)</f>
        <v>0</v>
      </c>
      <c r="L13" s="40">
        <f t="shared" si="5"/>
        <v>0.16535944117647056</v>
      </c>
      <c r="M13" s="41">
        <f>COUNTIF(Vertices[Closeness Centrality],"&gt;= "&amp;L13)-COUNTIF(Vertices[Closeness Centrality],"&gt;="&amp;L14)</f>
        <v>0</v>
      </c>
      <c r="N13" s="40">
        <f t="shared" si="6"/>
        <v>0.23464326470588232</v>
      </c>
      <c r="O13" s="41">
        <f>COUNTIF(Vertices[Eigenvector Centrality],"&gt;= "&amp;N13)-COUNTIF(Vertices[Eigenvector Centrality],"&gt;="&amp;N14)</f>
        <v>0</v>
      </c>
      <c r="P13" s="40">
        <f t="shared" si="7"/>
        <v>0.02629205882352941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32.8235294117647</v>
      </c>
      <c r="G14" s="39">
        <f>COUNTIF(Vertices[In-Degree],"&gt;= "&amp;F14)-COUNTIF(Vertices[In-Degree],"&gt;="&amp;F15)</f>
        <v>0</v>
      </c>
      <c r="H14" s="38">
        <f t="shared" si="3"/>
        <v>1</v>
      </c>
      <c r="I14" s="39">
        <f>COUNTIF(Vertices[Out-Degree],"&gt;= "&amp;H14)-COUNTIF(Vertices[Out-Degree],"&gt;="&amp;H15)</f>
        <v>0</v>
      </c>
      <c r="J14" s="38">
        <f t="shared" si="4"/>
        <v>2954.823529411764</v>
      </c>
      <c r="K14" s="39">
        <f>COUNTIF(Vertices[Betweenness Centrality],"&gt;= "&amp;J14)-COUNTIF(Vertices[Betweenness Centrality],"&gt;="&amp;J15)</f>
        <v>0</v>
      </c>
      <c r="L14" s="38">
        <f t="shared" si="5"/>
        <v>0.1803921176470588</v>
      </c>
      <c r="M14" s="39">
        <f>COUNTIF(Vertices[Closeness Centrality],"&gt;= "&amp;L14)-COUNTIF(Vertices[Closeness Centrality],"&gt;="&amp;L15)</f>
        <v>0</v>
      </c>
      <c r="N14" s="38">
        <f t="shared" si="6"/>
        <v>0.25597447058823525</v>
      </c>
      <c r="O14" s="39">
        <f>COUNTIF(Vertices[Eigenvector Centrality],"&gt;= "&amp;N14)-COUNTIF(Vertices[Eigenvector Centrality],"&gt;="&amp;N15)</f>
        <v>0</v>
      </c>
      <c r="P14" s="38">
        <f t="shared" si="7"/>
        <v>0.028244882352941175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41</v>
      </c>
      <c r="D15" s="33">
        <f t="shared" si="1"/>
        <v>0</v>
      </c>
      <c r="E15" s="3">
        <f>COUNTIF(Vertices[Degree],"&gt;= "&amp;D15)-COUNTIF(Vertices[Degree],"&gt;="&amp;D16)</f>
        <v>0</v>
      </c>
      <c r="F15" s="40">
        <f t="shared" si="2"/>
        <v>35.55882352941176</v>
      </c>
      <c r="G15" s="41">
        <f>COUNTIF(Vertices[In-Degree],"&gt;= "&amp;F15)-COUNTIF(Vertices[In-Degree],"&gt;="&amp;F16)</f>
        <v>0</v>
      </c>
      <c r="H15" s="40">
        <f t="shared" si="3"/>
        <v>1</v>
      </c>
      <c r="I15" s="41">
        <f>COUNTIF(Vertices[Out-Degree],"&gt;= "&amp;H15)-COUNTIF(Vertices[Out-Degree],"&gt;="&amp;H16)</f>
        <v>0</v>
      </c>
      <c r="J15" s="40">
        <f t="shared" si="4"/>
        <v>3201.058823529411</v>
      </c>
      <c r="K15" s="41">
        <f>COUNTIF(Vertices[Betweenness Centrality],"&gt;= "&amp;J15)-COUNTIF(Vertices[Betweenness Centrality],"&gt;="&amp;J16)</f>
        <v>0</v>
      </c>
      <c r="L15" s="40">
        <f t="shared" si="5"/>
        <v>0.19542479411764702</v>
      </c>
      <c r="M15" s="41">
        <f>COUNTIF(Vertices[Closeness Centrality],"&gt;= "&amp;L15)-COUNTIF(Vertices[Closeness Centrality],"&gt;="&amp;L16)</f>
        <v>0</v>
      </c>
      <c r="N15" s="40">
        <f t="shared" si="6"/>
        <v>0.2773056764705882</v>
      </c>
      <c r="O15" s="41">
        <f>COUNTIF(Vertices[Eigenvector Centrality],"&gt;= "&amp;N15)-COUNTIF(Vertices[Eigenvector Centrality],"&gt;="&amp;N16)</f>
        <v>0</v>
      </c>
      <c r="P15" s="40">
        <f t="shared" si="7"/>
        <v>0.03019770588235294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29</v>
      </c>
      <c r="D16" s="33">
        <f t="shared" si="1"/>
        <v>0</v>
      </c>
      <c r="E16" s="3">
        <f>COUNTIF(Vertices[Degree],"&gt;= "&amp;D16)-COUNTIF(Vertices[Degree],"&gt;="&amp;D17)</f>
        <v>0</v>
      </c>
      <c r="F16" s="38">
        <f t="shared" si="2"/>
        <v>38.29411764705882</v>
      </c>
      <c r="G16" s="39">
        <f>COUNTIF(Vertices[In-Degree],"&gt;= "&amp;F16)-COUNTIF(Vertices[In-Degree],"&gt;="&amp;F17)</f>
        <v>0</v>
      </c>
      <c r="H16" s="38">
        <f t="shared" si="3"/>
        <v>1</v>
      </c>
      <c r="I16" s="39">
        <f>COUNTIF(Vertices[Out-Degree],"&gt;= "&amp;H16)-COUNTIF(Vertices[Out-Degree],"&gt;="&amp;H17)</f>
        <v>0</v>
      </c>
      <c r="J16" s="38">
        <f t="shared" si="4"/>
        <v>3447.2941176470576</v>
      </c>
      <c r="K16" s="39">
        <f>COUNTIF(Vertices[Betweenness Centrality],"&gt;= "&amp;J16)-COUNTIF(Vertices[Betweenness Centrality],"&gt;="&amp;J17)</f>
        <v>0</v>
      </c>
      <c r="L16" s="38">
        <f t="shared" si="5"/>
        <v>0.21045747058823525</v>
      </c>
      <c r="M16" s="39">
        <f>COUNTIF(Vertices[Closeness Centrality],"&gt;= "&amp;L16)-COUNTIF(Vertices[Closeness Centrality],"&gt;="&amp;L17)</f>
        <v>0</v>
      </c>
      <c r="N16" s="38">
        <f t="shared" si="6"/>
        <v>0.2986368823529411</v>
      </c>
      <c r="O16" s="39">
        <f>COUNTIF(Vertices[Eigenvector Centrality],"&gt;= "&amp;N16)-COUNTIF(Vertices[Eigenvector Centrality],"&gt;="&amp;N17)</f>
        <v>0</v>
      </c>
      <c r="P16" s="38">
        <f t="shared" si="7"/>
        <v>0.0321505294117647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93</v>
      </c>
      <c r="D17" s="33">
        <f t="shared" si="1"/>
        <v>0</v>
      </c>
      <c r="E17" s="3">
        <f>COUNTIF(Vertices[Degree],"&gt;= "&amp;D17)-COUNTIF(Vertices[Degree],"&gt;="&amp;D18)</f>
        <v>0</v>
      </c>
      <c r="F17" s="40">
        <f t="shared" si="2"/>
        <v>41.02941176470588</v>
      </c>
      <c r="G17" s="41">
        <f>COUNTIF(Vertices[In-Degree],"&gt;= "&amp;F17)-COUNTIF(Vertices[In-Degree],"&gt;="&amp;F18)</f>
        <v>0</v>
      </c>
      <c r="H17" s="40">
        <f t="shared" si="3"/>
        <v>1</v>
      </c>
      <c r="I17" s="41">
        <f>COUNTIF(Vertices[Out-Degree],"&gt;= "&amp;H17)-COUNTIF(Vertices[Out-Degree],"&gt;="&amp;H18)</f>
        <v>0</v>
      </c>
      <c r="J17" s="40">
        <f t="shared" si="4"/>
        <v>3693.5294117647045</v>
      </c>
      <c r="K17" s="41">
        <f>COUNTIF(Vertices[Betweenness Centrality],"&gt;= "&amp;J17)-COUNTIF(Vertices[Betweenness Centrality],"&gt;="&amp;J18)</f>
        <v>0</v>
      </c>
      <c r="L17" s="40">
        <f t="shared" si="5"/>
        <v>0.22549014705882348</v>
      </c>
      <c r="M17" s="41">
        <f>COUNTIF(Vertices[Closeness Centrality],"&gt;= "&amp;L17)-COUNTIF(Vertices[Closeness Centrality],"&gt;="&amp;L18)</f>
        <v>0</v>
      </c>
      <c r="N17" s="40">
        <f t="shared" si="6"/>
        <v>0.31996808823529405</v>
      </c>
      <c r="O17" s="41">
        <f>COUNTIF(Vertices[Eigenvector Centrality],"&gt;= "&amp;N17)-COUNTIF(Vertices[Eigenvector Centrality],"&gt;="&amp;N18)</f>
        <v>0</v>
      </c>
      <c r="P17" s="40">
        <f t="shared" si="7"/>
        <v>0.03410335294117647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93</v>
      </c>
      <c r="D18" s="33">
        <f t="shared" si="1"/>
        <v>0</v>
      </c>
      <c r="E18" s="3">
        <f>COUNTIF(Vertices[Degree],"&gt;= "&amp;D18)-COUNTIF(Vertices[Degree],"&gt;="&amp;D19)</f>
        <v>0</v>
      </c>
      <c r="F18" s="38">
        <f t="shared" si="2"/>
        <v>43.764705882352935</v>
      </c>
      <c r="G18" s="39">
        <f>COUNTIF(Vertices[In-Degree],"&gt;= "&amp;F18)-COUNTIF(Vertices[In-Degree],"&gt;="&amp;F19)</f>
        <v>0</v>
      </c>
      <c r="H18" s="38">
        <f t="shared" si="3"/>
        <v>1</v>
      </c>
      <c r="I18" s="39">
        <f>COUNTIF(Vertices[Out-Degree],"&gt;= "&amp;H18)-COUNTIF(Vertices[Out-Degree],"&gt;="&amp;H19)</f>
        <v>0</v>
      </c>
      <c r="J18" s="38">
        <f t="shared" si="4"/>
        <v>3939.7647058823513</v>
      </c>
      <c r="K18" s="39">
        <f>COUNTIF(Vertices[Betweenness Centrality],"&gt;= "&amp;J18)-COUNTIF(Vertices[Betweenness Centrality],"&gt;="&amp;J19)</f>
        <v>0</v>
      </c>
      <c r="L18" s="38">
        <f t="shared" si="5"/>
        <v>0.2405228235294117</v>
      </c>
      <c r="M18" s="39">
        <f>COUNTIF(Vertices[Closeness Centrality],"&gt;= "&amp;L18)-COUNTIF(Vertices[Closeness Centrality],"&gt;="&amp;L19)</f>
        <v>0</v>
      </c>
      <c r="N18" s="38">
        <f t="shared" si="6"/>
        <v>0.341299294117647</v>
      </c>
      <c r="O18" s="39">
        <f>COUNTIF(Vertices[Eigenvector Centrality],"&gt;= "&amp;N18)-COUNTIF(Vertices[Eigenvector Centrality],"&gt;="&amp;N19)</f>
        <v>0</v>
      </c>
      <c r="P18" s="38">
        <f t="shared" si="7"/>
        <v>0.03605617647058823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46.49999999999999</v>
      </c>
      <c r="G19" s="41">
        <f>COUNTIF(Vertices[In-Degree],"&gt;= "&amp;F19)-COUNTIF(Vertices[In-Degree],"&gt;="&amp;F20)</f>
        <v>0</v>
      </c>
      <c r="H19" s="40">
        <f t="shared" si="3"/>
        <v>1</v>
      </c>
      <c r="I19" s="41">
        <f>COUNTIF(Vertices[Out-Degree],"&gt;= "&amp;H19)-COUNTIF(Vertices[Out-Degree],"&gt;="&amp;H20)</f>
        <v>0</v>
      </c>
      <c r="J19" s="40">
        <f t="shared" si="4"/>
        <v>4185.999999999998</v>
      </c>
      <c r="K19" s="41">
        <f>COUNTIF(Vertices[Betweenness Centrality],"&gt;= "&amp;J19)-COUNTIF(Vertices[Betweenness Centrality],"&gt;="&amp;J20)</f>
        <v>0</v>
      </c>
      <c r="L19" s="40">
        <f t="shared" si="5"/>
        <v>0.25555549999999994</v>
      </c>
      <c r="M19" s="41">
        <f>COUNTIF(Vertices[Closeness Centrality],"&gt;= "&amp;L19)-COUNTIF(Vertices[Closeness Centrality],"&gt;="&amp;L20)</f>
        <v>92</v>
      </c>
      <c r="N19" s="40">
        <f t="shared" si="6"/>
        <v>0.3626304999999999</v>
      </c>
      <c r="O19" s="41">
        <f>COUNTIF(Vertices[Eigenvector Centrality],"&gt;= "&amp;N19)-COUNTIF(Vertices[Eigenvector Centrality],"&gt;="&amp;N20)</f>
        <v>0</v>
      </c>
      <c r="P19" s="40">
        <f t="shared" si="7"/>
        <v>0.038008999999999994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49.23529411764705</v>
      </c>
      <c r="G20" s="39">
        <f>COUNTIF(Vertices[In-Degree],"&gt;= "&amp;F20)-COUNTIF(Vertices[In-Degree],"&gt;="&amp;F21)</f>
        <v>0</v>
      </c>
      <c r="H20" s="38">
        <f t="shared" si="3"/>
        <v>1</v>
      </c>
      <c r="I20" s="39">
        <f>COUNTIF(Vertices[Out-Degree],"&gt;= "&amp;H20)-COUNTIF(Vertices[Out-Degree],"&gt;="&amp;H21)</f>
        <v>0</v>
      </c>
      <c r="J20" s="38">
        <f t="shared" si="4"/>
        <v>4432.235294117645</v>
      </c>
      <c r="K20" s="39">
        <f>COUNTIF(Vertices[Betweenness Centrality],"&gt;= "&amp;J20)-COUNTIF(Vertices[Betweenness Centrality],"&gt;="&amp;J21)</f>
        <v>0</v>
      </c>
      <c r="L20" s="38">
        <f t="shared" si="5"/>
        <v>0.2705881764705882</v>
      </c>
      <c r="M20" s="39">
        <f>COUNTIF(Vertices[Closeness Centrality],"&gt;= "&amp;L20)-COUNTIF(Vertices[Closeness Centrality],"&gt;="&amp;L21)</f>
        <v>0</v>
      </c>
      <c r="N20" s="38">
        <f t="shared" si="6"/>
        <v>0.38396170588235284</v>
      </c>
      <c r="O20" s="39">
        <f>COUNTIF(Vertices[Eigenvector Centrality],"&gt;= "&amp;N20)-COUNTIF(Vertices[Eigenvector Centrality],"&gt;="&amp;N21)</f>
        <v>0</v>
      </c>
      <c r="P20" s="38">
        <f t="shared" si="7"/>
        <v>0.03996182352941176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1.931462</v>
      </c>
      <c r="D21" s="33">
        <f t="shared" si="1"/>
        <v>0</v>
      </c>
      <c r="E21" s="3">
        <f>COUNTIF(Vertices[Degree],"&gt;= "&amp;D21)-COUNTIF(Vertices[Degree],"&gt;="&amp;D22)</f>
        <v>0</v>
      </c>
      <c r="F21" s="40">
        <f t="shared" si="2"/>
        <v>51.97058823529411</v>
      </c>
      <c r="G21" s="41">
        <f>COUNTIF(Vertices[In-Degree],"&gt;= "&amp;F21)-COUNTIF(Vertices[In-Degree],"&gt;="&amp;F22)</f>
        <v>0</v>
      </c>
      <c r="H21" s="40">
        <f t="shared" si="3"/>
        <v>1</v>
      </c>
      <c r="I21" s="41">
        <f>COUNTIF(Vertices[Out-Degree],"&gt;= "&amp;H21)-COUNTIF(Vertices[Out-Degree],"&gt;="&amp;H22)</f>
        <v>0</v>
      </c>
      <c r="J21" s="40">
        <f t="shared" si="4"/>
        <v>4678.470588235292</v>
      </c>
      <c r="K21" s="41">
        <f>COUNTIF(Vertices[Betweenness Centrality],"&gt;= "&amp;J21)-COUNTIF(Vertices[Betweenness Centrality],"&gt;="&amp;J22)</f>
        <v>0</v>
      </c>
      <c r="L21" s="40">
        <f t="shared" si="5"/>
        <v>0.28562085294117645</v>
      </c>
      <c r="M21" s="41">
        <f>COUNTIF(Vertices[Closeness Centrality],"&gt;= "&amp;L21)-COUNTIF(Vertices[Closeness Centrality],"&gt;="&amp;L22)</f>
        <v>0</v>
      </c>
      <c r="N21" s="40">
        <f t="shared" si="6"/>
        <v>0.4052929117647058</v>
      </c>
      <c r="O21" s="41">
        <f>COUNTIF(Vertices[Eigenvector Centrality],"&gt;= "&amp;N21)-COUNTIF(Vertices[Eigenvector Centrality],"&gt;="&amp;N22)</f>
        <v>0</v>
      </c>
      <c r="P21" s="40">
        <f t="shared" si="7"/>
        <v>0.04191464705882352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54.70588235294117</v>
      </c>
      <c r="G22" s="39">
        <f>COUNTIF(Vertices[In-Degree],"&gt;= "&amp;F22)-COUNTIF(Vertices[In-Degree],"&gt;="&amp;F23)</f>
        <v>0</v>
      </c>
      <c r="H22" s="38">
        <f t="shared" si="3"/>
        <v>1</v>
      </c>
      <c r="I22" s="39">
        <f>COUNTIF(Vertices[Out-Degree],"&gt;= "&amp;H22)-COUNTIF(Vertices[Out-Degree],"&gt;="&amp;H23)</f>
        <v>0</v>
      </c>
      <c r="J22" s="38">
        <f t="shared" si="4"/>
        <v>4924.705882352939</v>
      </c>
      <c r="K22" s="39">
        <f>COUNTIF(Vertices[Betweenness Centrality],"&gt;= "&amp;J22)-COUNTIF(Vertices[Betweenness Centrality],"&gt;="&amp;J23)</f>
        <v>0</v>
      </c>
      <c r="L22" s="38">
        <f t="shared" si="5"/>
        <v>0.3006535294117647</v>
      </c>
      <c r="M22" s="39">
        <f>COUNTIF(Vertices[Closeness Centrality],"&gt;= "&amp;L22)-COUNTIF(Vertices[Closeness Centrality],"&gt;="&amp;L23)</f>
        <v>0</v>
      </c>
      <c r="N22" s="38">
        <f t="shared" si="6"/>
        <v>0.4266241176470587</v>
      </c>
      <c r="O22" s="39">
        <f>COUNTIF(Vertices[Eigenvector Centrality],"&gt;= "&amp;N22)-COUNTIF(Vertices[Eigenvector Centrality],"&gt;="&amp;N23)</f>
        <v>0</v>
      </c>
      <c r="P22" s="38">
        <f t="shared" si="7"/>
        <v>0.043867470588235286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0.004297114794352364</v>
      </c>
      <c r="D23" s="33">
        <f t="shared" si="1"/>
        <v>0</v>
      </c>
      <c r="E23" s="3">
        <f>COUNTIF(Vertices[Degree],"&gt;= "&amp;D23)-COUNTIF(Vertices[Degree],"&gt;="&amp;D24)</f>
        <v>0</v>
      </c>
      <c r="F23" s="40">
        <f t="shared" si="2"/>
        <v>57.441176470588225</v>
      </c>
      <c r="G23" s="41">
        <f>COUNTIF(Vertices[In-Degree],"&gt;= "&amp;F23)-COUNTIF(Vertices[In-Degree],"&gt;="&amp;F24)</f>
        <v>0</v>
      </c>
      <c r="H23" s="40">
        <f t="shared" si="3"/>
        <v>1</v>
      </c>
      <c r="I23" s="41">
        <f>COUNTIF(Vertices[Out-Degree],"&gt;= "&amp;H23)-COUNTIF(Vertices[Out-Degree],"&gt;="&amp;H24)</f>
        <v>0</v>
      </c>
      <c r="J23" s="40">
        <f t="shared" si="4"/>
        <v>5170.941176470586</v>
      </c>
      <c r="K23" s="41">
        <f>COUNTIF(Vertices[Betweenness Centrality],"&gt;= "&amp;J23)-COUNTIF(Vertices[Betweenness Centrality],"&gt;="&amp;J24)</f>
        <v>0</v>
      </c>
      <c r="L23" s="40">
        <f t="shared" si="5"/>
        <v>0.31568620588235297</v>
      </c>
      <c r="M23" s="41">
        <f>COUNTIF(Vertices[Closeness Centrality],"&gt;= "&amp;L23)-COUNTIF(Vertices[Closeness Centrality],"&gt;="&amp;L24)</f>
        <v>0</v>
      </c>
      <c r="N23" s="40">
        <f t="shared" si="6"/>
        <v>0.44795532352941164</v>
      </c>
      <c r="O23" s="41">
        <f>COUNTIF(Vertices[Eigenvector Centrality],"&gt;= "&amp;N23)-COUNTIF(Vertices[Eigenvector Centrality],"&gt;="&amp;N24)</f>
        <v>0</v>
      </c>
      <c r="P23" s="40">
        <f t="shared" si="7"/>
        <v>0.04582029411764705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1545</v>
      </c>
      <c r="B24" s="35">
        <v>0.599837</v>
      </c>
      <c r="D24" s="33">
        <f t="shared" si="1"/>
        <v>0</v>
      </c>
      <c r="E24" s="3">
        <f>COUNTIF(Vertices[Degree],"&gt;= "&amp;D24)-COUNTIF(Vertices[Degree],"&gt;="&amp;D25)</f>
        <v>0</v>
      </c>
      <c r="F24" s="38">
        <f t="shared" si="2"/>
        <v>60.17647058823528</v>
      </c>
      <c r="G24" s="39">
        <f>COUNTIF(Vertices[In-Degree],"&gt;= "&amp;F24)-COUNTIF(Vertices[In-Degree],"&gt;="&amp;F25)</f>
        <v>0</v>
      </c>
      <c r="H24" s="38">
        <f t="shared" si="3"/>
        <v>1</v>
      </c>
      <c r="I24" s="39">
        <f>COUNTIF(Vertices[Out-Degree],"&gt;= "&amp;H24)-COUNTIF(Vertices[Out-Degree],"&gt;="&amp;H25)</f>
        <v>0</v>
      </c>
      <c r="J24" s="38">
        <f t="shared" si="4"/>
        <v>5417.176470588232</v>
      </c>
      <c r="K24" s="39">
        <f>COUNTIF(Vertices[Betweenness Centrality],"&gt;= "&amp;J24)-COUNTIF(Vertices[Betweenness Centrality],"&gt;="&amp;J25)</f>
        <v>0</v>
      </c>
      <c r="L24" s="38">
        <f t="shared" si="5"/>
        <v>0.3307188823529412</v>
      </c>
      <c r="M24" s="39">
        <f>COUNTIF(Vertices[Closeness Centrality],"&gt;= "&amp;L24)-COUNTIF(Vertices[Closeness Centrality],"&gt;="&amp;L25)</f>
        <v>0</v>
      </c>
      <c r="N24" s="38">
        <f t="shared" si="6"/>
        <v>0.4692865294117646</v>
      </c>
      <c r="O24" s="39">
        <f>COUNTIF(Vertices[Eigenvector Centrality],"&gt;= "&amp;N24)-COUNTIF(Vertices[Eigenvector Centrality],"&gt;="&amp;N25)</f>
        <v>0</v>
      </c>
      <c r="P24" s="38">
        <f t="shared" si="7"/>
        <v>0.04777311764705881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62.91176470588234</v>
      </c>
      <c r="G25" s="41">
        <f>COUNTIF(Vertices[In-Degree],"&gt;= "&amp;F25)-COUNTIF(Vertices[In-Degree],"&gt;="&amp;F26)</f>
        <v>0</v>
      </c>
      <c r="H25" s="40">
        <f t="shared" si="3"/>
        <v>1</v>
      </c>
      <c r="I25" s="41">
        <f>COUNTIF(Vertices[Out-Degree],"&gt;= "&amp;H25)-COUNTIF(Vertices[Out-Degree],"&gt;="&amp;H26)</f>
        <v>0</v>
      </c>
      <c r="J25" s="40">
        <f t="shared" si="4"/>
        <v>5663.411764705879</v>
      </c>
      <c r="K25" s="41">
        <f>COUNTIF(Vertices[Betweenness Centrality],"&gt;= "&amp;J25)-COUNTIF(Vertices[Betweenness Centrality],"&gt;="&amp;J26)</f>
        <v>0</v>
      </c>
      <c r="L25" s="40">
        <f t="shared" si="5"/>
        <v>0.3457515588235295</v>
      </c>
      <c r="M25" s="41">
        <f>COUNTIF(Vertices[Closeness Centrality],"&gt;= "&amp;L25)-COUNTIF(Vertices[Closeness Centrality],"&gt;="&amp;L26)</f>
        <v>0</v>
      </c>
      <c r="N25" s="40">
        <f t="shared" si="6"/>
        <v>0.4906177352941175</v>
      </c>
      <c r="O25" s="41">
        <f>COUNTIF(Vertices[Eigenvector Centrality],"&gt;= "&amp;N25)-COUNTIF(Vertices[Eigenvector Centrality],"&gt;="&amp;N26)</f>
        <v>0</v>
      </c>
      <c r="P25" s="40">
        <f t="shared" si="7"/>
        <v>0.04972594117647058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1546</v>
      </c>
      <c r="B26" s="35" t="s">
        <v>1561</v>
      </c>
      <c r="D26" s="33">
        <f t="shared" si="1"/>
        <v>0</v>
      </c>
      <c r="E26" s="3">
        <f>COUNTIF(Vertices[Degree],"&gt;= "&amp;D26)-COUNTIF(Vertices[Degree],"&gt;="&amp;D27)</f>
        <v>0</v>
      </c>
      <c r="F26" s="38">
        <f t="shared" si="2"/>
        <v>65.6470588235294</v>
      </c>
      <c r="G26" s="39">
        <f>COUNTIF(Vertices[In-Degree],"&gt;= "&amp;F26)-COUNTIF(Vertices[In-Degree],"&gt;="&amp;F27)</f>
        <v>0</v>
      </c>
      <c r="H26" s="38">
        <f t="shared" si="3"/>
        <v>1</v>
      </c>
      <c r="I26" s="39">
        <f>COUNTIF(Vertices[Out-Degree],"&gt;= "&amp;H26)-COUNTIF(Vertices[Out-Degree],"&gt;="&amp;H27)</f>
        <v>0</v>
      </c>
      <c r="J26" s="38">
        <f t="shared" si="4"/>
        <v>5909.647058823526</v>
      </c>
      <c r="K26" s="39">
        <f>COUNTIF(Vertices[Betweenness Centrality],"&gt;= "&amp;J26)-COUNTIF(Vertices[Betweenness Centrality],"&gt;="&amp;J27)</f>
        <v>0</v>
      </c>
      <c r="L26" s="38">
        <f t="shared" si="5"/>
        <v>0.36078423529411774</v>
      </c>
      <c r="M26" s="39">
        <f>COUNTIF(Vertices[Closeness Centrality],"&gt;= "&amp;L26)-COUNTIF(Vertices[Closeness Centrality],"&gt;="&amp;L27)</f>
        <v>0</v>
      </c>
      <c r="N26" s="38">
        <f t="shared" si="6"/>
        <v>0.5119489411764705</v>
      </c>
      <c r="O26" s="39">
        <f>COUNTIF(Vertices[Eigenvector Centrality],"&gt;= "&amp;N26)-COUNTIF(Vertices[Eigenvector Centrality],"&gt;="&amp;N27)</f>
        <v>0</v>
      </c>
      <c r="P26" s="38">
        <f t="shared" si="7"/>
        <v>0.05167876470588234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68.38235294117646</v>
      </c>
      <c r="G27" s="41">
        <f>COUNTIF(Vertices[In-Degree],"&gt;= "&amp;F27)-COUNTIF(Vertices[In-Degree],"&gt;="&amp;F28)</f>
        <v>0</v>
      </c>
      <c r="H27" s="40">
        <f t="shared" si="3"/>
        <v>1</v>
      </c>
      <c r="I27" s="41">
        <f>COUNTIF(Vertices[Out-Degree],"&gt;= "&amp;H27)-COUNTIF(Vertices[Out-Degree],"&gt;="&amp;H28)</f>
        <v>0</v>
      </c>
      <c r="J27" s="40">
        <f t="shared" si="4"/>
        <v>6155.882352941173</v>
      </c>
      <c r="K27" s="41">
        <f>COUNTIF(Vertices[Betweenness Centrality],"&gt;= "&amp;J27)-COUNTIF(Vertices[Betweenness Centrality],"&gt;="&amp;J28)</f>
        <v>0</v>
      </c>
      <c r="L27" s="40">
        <f t="shared" si="5"/>
        <v>0.375816911764706</v>
      </c>
      <c r="M27" s="41">
        <f>COUNTIF(Vertices[Closeness Centrality],"&gt;= "&amp;L27)-COUNTIF(Vertices[Closeness Centrality],"&gt;="&amp;L28)</f>
        <v>0</v>
      </c>
      <c r="N27" s="40">
        <f t="shared" si="6"/>
        <v>0.5332801470588234</v>
      </c>
      <c r="O27" s="41">
        <f>COUNTIF(Vertices[Eigenvector Centrality],"&gt;= "&amp;N27)-COUNTIF(Vertices[Eigenvector Centrality],"&gt;="&amp;N28)</f>
        <v>0</v>
      </c>
      <c r="P27" s="40">
        <f t="shared" si="7"/>
        <v>0.053631588235294105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1547</v>
      </c>
      <c r="B28" s="35" t="s">
        <v>1810</v>
      </c>
      <c r="D28" s="33">
        <f t="shared" si="1"/>
        <v>0</v>
      </c>
      <c r="E28" s="3">
        <f>COUNTIF(Vertices[Degree],"&gt;= "&amp;D28)-COUNTIF(Vertices[Degree],"&gt;="&amp;D29)</f>
        <v>0</v>
      </c>
      <c r="F28" s="38">
        <f t="shared" si="2"/>
        <v>71.11764705882352</v>
      </c>
      <c r="G28" s="39">
        <f>COUNTIF(Vertices[In-Degree],"&gt;= "&amp;F28)-COUNTIF(Vertices[In-Degree],"&gt;="&amp;F29)</f>
        <v>0</v>
      </c>
      <c r="H28" s="38">
        <f t="shared" si="3"/>
        <v>1</v>
      </c>
      <c r="I28" s="39">
        <f>COUNTIF(Vertices[Out-Degree],"&gt;= "&amp;H28)-COUNTIF(Vertices[Out-Degree],"&gt;="&amp;H29)</f>
        <v>0</v>
      </c>
      <c r="J28" s="38">
        <f t="shared" si="4"/>
        <v>6402.11764705882</v>
      </c>
      <c r="K28" s="39">
        <f>COUNTIF(Vertices[Betweenness Centrality],"&gt;= "&amp;J28)-COUNTIF(Vertices[Betweenness Centrality],"&gt;="&amp;J29)</f>
        <v>0</v>
      </c>
      <c r="L28" s="38">
        <f t="shared" si="5"/>
        <v>0.39084958823529425</v>
      </c>
      <c r="M28" s="39">
        <f>COUNTIF(Vertices[Closeness Centrality],"&gt;= "&amp;L28)-COUNTIF(Vertices[Closeness Centrality],"&gt;="&amp;L29)</f>
        <v>0</v>
      </c>
      <c r="N28" s="38">
        <f t="shared" si="6"/>
        <v>0.5546113529411764</v>
      </c>
      <c r="O28" s="39">
        <f>COUNTIF(Vertices[Eigenvector Centrality],"&gt;= "&amp;N28)-COUNTIF(Vertices[Eigenvector Centrality],"&gt;="&amp;N29)</f>
        <v>0</v>
      </c>
      <c r="P28" s="38">
        <f t="shared" si="7"/>
        <v>0.05558441176470587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1548</v>
      </c>
      <c r="B29" s="35" t="s">
        <v>1811</v>
      </c>
      <c r="D29" s="33">
        <f t="shared" si="1"/>
        <v>0</v>
      </c>
      <c r="E29" s="3">
        <f>COUNTIF(Vertices[Degree],"&gt;= "&amp;D29)-COUNTIF(Vertices[Degree],"&gt;="&amp;D30)</f>
        <v>0</v>
      </c>
      <c r="F29" s="40">
        <f t="shared" si="2"/>
        <v>73.85294117647058</v>
      </c>
      <c r="G29" s="41">
        <f>COUNTIF(Vertices[In-Degree],"&gt;= "&amp;F29)-COUNTIF(Vertices[In-Degree],"&gt;="&amp;F30)</f>
        <v>0</v>
      </c>
      <c r="H29" s="40">
        <f t="shared" si="3"/>
        <v>1</v>
      </c>
      <c r="I29" s="41">
        <f>COUNTIF(Vertices[Out-Degree],"&gt;= "&amp;H29)-COUNTIF(Vertices[Out-Degree],"&gt;="&amp;H30)</f>
        <v>0</v>
      </c>
      <c r="J29" s="40">
        <f t="shared" si="4"/>
        <v>6648.352941176467</v>
      </c>
      <c r="K29" s="41">
        <f>COUNTIF(Vertices[Betweenness Centrality],"&gt;= "&amp;J29)-COUNTIF(Vertices[Betweenness Centrality],"&gt;="&amp;J30)</f>
        <v>0</v>
      </c>
      <c r="L29" s="40">
        <f t="shared" si="5"/>
        <v>0.4058822647058825</v>
      </c>
      <c r="M29" s="41">
        <f>COUNTIF(Vertices[Closeness Centrality],"&gt;= "&amp;L29)-COUNTIF(Vertices[Closeness Centrality],"&gt;="&amp;L30)</f>
        <v>0</v>
      </c>
      <c r="N29" s="40">
        <f t="shared" si="6"/>
        <v>0.5759425588235293</v>
      </c>
      <c r="O29" s="41">
        <f>COUNTIF(Vertices[Eigenvector Centrality],"&gt;= "&amp;N29)-COUNTIF(Vertices[Eigenvector Centrality],"&gt;="&amp;N30)</f>
        <v>0</v>
      </c>
      <c r="P29" s="40">
        <f t="shared" si="7"/>
        <v>0.05753723529411763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76.58823529411764</v>
      </c>
      <c r="G30" s="39">
        <f>COUNTIF(Vertices[In-Degree],"&gt;= "&amp;F30)-COUNTIF(Vertices[In-Degree],"&gt;="&amp;F31)</f>
        <v>0</v>
      </c>
      <c r="H30" s="38">
        <f t="shared" si="3"/>
        <v>1</v>
      </c>
      <c r="I30" s="39">
        <f>COUNTIF(Vertices[Out-Degree],"&gt;= "&amp;H30)-COUNTIF(Vertices[Out-Degree],"&gt;="&amp;H31)</f>
        <v>0</v>
      </c>
      <c r="J30" s="38">
        <f t="shared" si="4"/>
        <v>6894.5882352941135</v>
      </c>
      <c r="K30" s="39">
        <f>COUNTIF(Vertices[Betweenness Centrality],"&gt;= "&amp;J30)-COUNTIF(Vertices[Betweenness Centrality],"&gt;="&amp;J31)</f>
        <v>0</v>
      </c>
      <c r="L30" s="38">
        <f t="shared" si="5"/>
        <v>0.42091494117647077</v>
      </c>
      <c r="M30" s="39">
        <f>COUNTIF(Vertices[Closeness Centrality],"&gt;= "&amp;L30)-COUNTIF(Vertices[Closeness Centrality],"&gt;="&amp;L31)</f>
        <v>0</v>
      </c>
      <c r="N30" s="38">
        <f t="shared" si="6"/>
        <v>0.5972737647058822</v>
      </c>
      <c r="O30" s="39">
        <f>COUNTIF(Vertices[Eigenvector Centrality],"&gt;= "&amp;N30)-COUNTIF(Vertices[Eigenvector Centrality],"&gt;="&amp;N31)</f>
        <v>0</v>
      </c>
      <c r="P30" s="38">
        <f t="shared" si="7"/>
        <v>0.059490058823529396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1549</v>
      </c>
      <c r="B31" s="35"/>
      <c r="D31" s="33">
        <f t="shared" si="1"/>
        <v>0</v>
      </c>
      <c r="E31" s="3">
        <f>COUNTIF(Vertices[Degree],"&gt;= "&amp;D31)-COUNTIF(Vertices[Degree],"&gt;="&amp;D32)</f>
        <v>0</v>
      </c>
      <c r="F31" s="40">
        <f t="shared" si="2"/>
        <v>79.3235294117647</v>
      </c>
      <c r="G31" s="41">
        <f>COUNTIF(Vertices[In-Degree],"&gt;= "&amp;F31)-COUNTIF(Vertices[In-Degree],"&gt;="&amp;F32)</f>
        <v>0</v>
      </c>
      <c r="H31" s="40">
        <f t="shared" si="3"/>
        <v>1</v>
      </c>
      <c r="I31" s="41">
        <f>COUNTIF(Vertices[Out-Degree],"&gt;= "&amp;H31)-COUNTIF(Vertices[Out-Degree],"&gt;="&amp;H32)</f>
        <v>0</v>
      </c>
      <c r="J31" s="40">
        <f t="shared" si="4"/>
        <v>7140.82352941176</v>
      </c>
      <c r="K31" s="41">
        <f>COUNTIF(Vertices[Betweenness Centrality],"&gt;= "&amp;J31)-COUNTIF(Vertices[Betweenness Centrality],"&gt;="&amp;J32)</f>
        <v>0</v>
      </c>
      <c r="L31" s="40">
        <f t="shared" si="5"/>
        <v>0.435947617647059</v>
      </c>
      <c r="M31" s="41">
        <f>COUNTIF(Vertices[Closeness Centrality],"&gt;= "&amp;L31)-COUNTIF(Vertices[Closeness Centrality],"&gt;="&amp;L32)</f>
        <v>0</v>
      </c>
      <c r="N31" s="40">
        <f t="shared" si="6"/>
        <v>0.6186049705882352</v>
      </c>
      <c r="O31" s="41">
        <f>COUNTIF(Vertices[Eigenvector Centrality],"&gt;= "&amp;N31)-COUNTIF(Vertices[Eigenvector Centrality],"&gt;="&amp;N32)</f>
        <v>0</v>
      </c>
      <c r="P31" s="40">
        <f t="shared" si="7"/>
        <v>0.06144288235294116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1550</v>
      </c>
      <c r="B32" s="35"/>
      <c r="D32" s="33">
        <f t="shared" si="1"/>
        <v>0</v>
      </c>
      <c r="E32" s="3">
        <f>COUNTIF(Vertices[Degree],"&gt;= "&amp;D32)-COUNTIF(Vertices[Degree],"&gt;="&amp;D33)</f>
        <v>0</v>
      </c>
      <c r="F32" s="38">
        <f t="shared" si="2"/>
        <v>82.05882352941175</v>
      </c>
      <c r="G32" s="39">
        <f>COUNTIF(Vertices[In-Degree],"&gt;= "&amp;F32)-COUNTIF(Vertices[In-Degree],"&gt;="&amp;F33)</f>
        <v>0</v>
      </c>
      <c r="H32" s="38">
        <f t="shared" si="3"/>
        <v>1</v>
      </c>
      <c r="I32" s="39">
        <f>COUNTIF(Vertices[Out-Degree],"&gt;= "&amp;H32)-COUNTIF(Vertices[Out-Degree],"&gt;="&amp;H33)</f>
        <v>0</v>
      </c>
      <c r="J32" s="38">
        <f t="shared" si="4"/>
        <v>7387.058823529407</v>
      </c>
      <c r="K32" s="39">
        <f>COUNTIF(Vertices[Betweenness Centrality],"&gt;= "&amp;J32)-COUNTIF(Vertices[Betweenness Centrality],"&gt;="&amp;J33)</f>
        <v>0</v>
      </c>
      <c r="L32" s="38">
        <f t="shared" si="5"/>
        <v>0.4509802941176473</v>
      </c>
      <c r="M32" s="39">
        <f>COUNTIF(Vertices[Closeness Centrality],"&gt;= "&amp;L32)-COUNTIF(Vertices[Closeness Centrality],"&gt;="&amp;L33)</f>
        <v>0</v>
      </c>
      <c r="N32" s="38">
        <f t="shared" si="6"/>
        <v>0.6399361764705881</v>
      </c>
      <c r="O32" s="39">
        <f>COUNTIF(Vertices[Eigenvector Centrality],"&gt;= "&amp;N32)-COUNTIF(Vertices[Eigenvector Centrality],"&gt;="&amp;N33)</f>
        <v>0</v>
      </c>
      <c r="P32" s="38">
        <f t="shared" si="7"/>
        <v>0.06339570588235292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1551</v>
      </c>
      <c r="B33" s="35" t="s">
        <v>1562</v>
      </c>
      <c r="D33" s="33">
        <f t="shared" si="1"/>
        <v>0</v>
      </c>
      <c r="E33" s="3">
        <f>COUNTIF(Vertices[Degree],"&gt;= "&amp;D33)-COUNTIF(Vertices[Degree],"&gt;="&amp;D34)</f>
        <v>0</v>
      </c>
      <c r="F33" s="40">
        <f t="shared" si="2"/>
        <v>84.79411764705881</v>
      </c>
      <c r="G33" s="41">
        <f>COUNTIF(Vertices[In-Degree],"&gt;= "&amp;F33)-COUNTIF(Vertices[In-Degree],"&gt;="&amp;F34)</f>
        <v>0</v>
      </c>
      <c r="H33" s="40">
        <f t="shared" si="3"/>
        <v>1</v>
      </c>
      <c r="I33" s="41">
        <f>COUNTIF(Vertices[Out-Degree],"&gt;= "&amp;H33)-COUNTIF(Vertices[Out-Degree],"&gt;="&amp;H34)</f>
        <v>0</v>
      </c>
      <c r="J33" s="40">
        <f t="shared" si="4"/>
        <v>7633.294117647054</v>
      </c>
      <c r="K33" s="41">
        <f>COUNTIF(Vertices[Betweenness Centrality],"&gt;= "&amp;J33)-COUNTIF(Vertices[Betweenness Centrality],"&gt;="&amp;J34)</f>
        <v>0</v>
      </c>
      <c r="L33" s="40">
        <f t="shared" si="5"/>
        <v>0.46601297058823554</v>
      </c>
      <c r="M33" s="41">
        <f>COUNTIF(Vertices[Closeness Centrality],"&gt;= "&amp;L33)-COUNTIF(Vertices[Closeness Centrality],"&gt;="&amp;L34)</f>
        <v>0</v>
      </c>
      <c r="N33" s="40">
        <f t="shared" si="6"/>
        <v>0.661267382352941</v>
      </c>
      <c r="O33" s="41">
        <f>COUNTIF(Vertices[Eigenvector Centrality],"&gt;= "&amp;N33)-COUNTIF(Vertices[Eigenvector Centrality],"&gt;="&amp;N34)</f>
        <v>0</v>
      </c>
      <c r="P33" s="40">
        <f t="shared" si="7"/>
        <v>0.0653485294117647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1552</v>
      </c>
      <c r="B34" s="35" t="s">
        <v>1793</v>
      </c>
      <c r="D34" s="33">
        <f t="shared" si="1"/>
        <v>0</v>
      </c>
      <c r="E34" s="3">
        <f>COUNTIF(Vertices[Degree],"&gt;= "&amp;D34)-COUNTIF(Vertices[Degree],"&gt;="&amp;D35)</f>
        <v>0</v>
      </c>
      <c r="F34" s="38">
        <f t="shared" si="2"/>
        <v>87.52941176470587</v>
      </c>
      <c r="G34" s="39">
        <f>COUNTIF(Vertices[In-Degree],"&gt;= "&amp;F34)-COUNTIF(Vertices[In-Degree],"&gt;="&amp;F35)</f>
        <v>0</v>
      </c>
      <c r="H34" s="38">
        <f t="shared" si="3"/>
        <v>1</v>
      </c>
      <c r="I34" s="39">
        <f>COUNTIF(Vertices[Out-Degree],"&gt;= "&amp;H34)-COUNTIF(Vertices[Out-Degree],"&gt;="&amp;H35)</f>
        <v>0</v>
      </c>
      <c r="J34" s="38">
        <f t="shared" si="4"/>
        <v>7879.529411764701</v>
      </c>
      <c r="K34" s="39">
        <f>COUNTIF(Vertices[Betweenness Centrality],"&gt;= "&amp;J34)-COUNTIF(Vertices[Betweenness Centrality],"&gt;="&amp;J35)</f>
        <v>0</v>
      </c>
      <c r="L34" s="38">
        <f t="shared" si="5"/>
        <v>0.4810456470588238</v>
      </c>
      <c r="M34" s="39">
        <f>COUNTIF(Vertices[Closeness Centrality],"&gt;= "&amp;L34)-COUNTIF(Vertices[Closeness Centrality],"&gt;="&amp;L35)</f>
        <v>0</v>
      </c>
      <c r="N34" s="38">
        <f t="shared" si="6"/>
        <v>0.682598588235294</v>
      </c>
      <c r="O34" s="39">
        <f>COUNTIF(Vertices[Eigenvector Centrality],"&gt;= "&amp;N34)-COUNTIF(Vertices[Eigenvector Centrality],"&gt;="&amp;N35)</f>
        <v>0</v>
      </c>
      <c r="P34" s="38">
        <f t="shared" si="7"/>
        <v>0.06730135294117646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1553</v>
      </c>
      <c r="B35" s="35" t="s">
        <v>1563</v>
      </c>
      <c r="D35" s="33">
        <f t="shared" si="1"/>
        <v>0</v>
      </c>
      <c r="E35" s="3">
        <f>COUNTIF(Vertices[Degree],"&gt;= "&amp;D35)-COUNTIF(Vertices[Degree],"&gt;="&amp;D36)</f>
        <v>0</v>
      </c>
      <c r="F35" s="40">
        <f t="shared" si="2"/>
        <v>90.26470588235293</v>
      </c>
      <c r="G35" s="41">
        <f>COUNTIF(Vertices[In-Degree],"&gt;= "&amp;F35)-COUNTIF(Vertices[In-Degree],"&gt;="&amp;F36)</f>
        <v>0</v>
      </c>
      <c r="H35" s="40">
        <f t="shared" si="3"/>
        <v>1</v>
      </c>
      <c r="I35" s="41">
        <f>COUNTIF(Vertices[Out-Degree],"&gt;= "&amp;H35)-COUNTIF(Vertices[Out-Degree],"&gt;="&amp;H36)</f>
        <v>0</v>
      </c>
      <c r="J35" s="40">
        <f t="shared" si="4"/>
        <v>8125.764705882348</v>
      </c>
      <c r="K35" s="41">
        <f>COUNTIF(Vertices[Betweenness Centrality],"&gt;= "&amp;J35)-COUNTIF(Vertices[Betweenness Centrality],"&gt;="&amp;J36)</f>
        <v>0</v>
      </c>
      <c r="L35" s="40">
        <f t="shared" si="5"/>
        <v>0.49607832352941206</v>
      </c>
      <c r="M35" s="41">
        <f>COUNTIF(Vertices[Closeness Centrality],"&gt;= "&amp;L35)-COUNTIF(Vertices[Closeness Centrality],"&gt;="&amp;L36)</f>
        <v>0</v>
      </c>
      <c r="N35" s="40">
        <f t="shared" si="6"/>
        <v>0.7039297941176469</v>
      </c>
      <c r="O35" s="41">
        <f>COUNTIF(Vertices[Eigenvector Centrality],"&gt;= "&amp;N35)-COUNTIF(Vertices[Eigenvector Centrality],"&gt;="&amp;N36)</f>
        <v>0</v>
      </c>
      <c r="P35" s="40">
        <f t="shared" si="7"/>
        <v>0.06925417647058824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1554</v>
      </c>
      <c r="B36" s="35" t="s">
        <v>211</v>
      </c>
      <c r="D36" s="33">
        <f>MAX(Vertices[Degree])</f>
        <v>0</v>
      </c>
      <c r="E36" s="3">
        <f>COUNTIF(Vertices[Degree],"&gt;= "&amp;D36)-COUNTIF(Vertices[Degree],"&gt;="&amp;#REF!)</f>
        <v>0</v>
      </c>
      <c r="F36" s="42">
        <f>MAX(Vertices[In-Degree])</f>
        <v>93</v>
      </c>
      <c r="G36" s="43">
        <f>COUNTIF(Vertices[In-Degree],"&gt;= "&amp;F36)-COUNTIF(Vertices[In-Degree],"&gt;="&amp;#REF!)</f>
        <v>1</v>
      </c>
      <c r="H36" s="42">
        <f>MAX(Vertices[Out-Degree])</f>
        <v>1</v>
      </c>
      <c r="I36" s="43">
        <f>COUNTIF(Vertices[Out-Degree],"&gt;= "&amp;H36)-COUNTIF(Vertices[Out-Degree],"&gt;="&amp;#REF!)</f>
        <v>181</v>
      </c>
      <c r="J36" s="42">
        <f>MAX(Vertices[Betweenness Centrality])</f>
        <v>8372</v>
      </c>
      <c r="K36" s="43">
        <f>COUNTIF(Vertices[Betweenness Centrality],"&gt;= "&amp;J36)-COUNTIF(Vertices[Betweenness Centrality],"&gt;="&amp;#REF!)</f>
        <v>1</v>
      </c>
      <c r="L36" s="42">
        <f>MAX(Vertices[Closeness Centrality])</f>
        <v>0.511111</v>
      </c>
      <c r="M36" s="43">
        <f>COUNTIF(Vertices[Closeness Centrality],"&gt;= "&amp;L36)-COUNTIF(Vertices[Closeness Centrality],"&gt;="&amp;#REF!)</f>
        <v>1</v>
      </c>
      <c r="N36" s="42">
        <f>MAX(Vertices[Eigenvector Centrality])</f>
        <v>0.725261</v>
      </c>
      <c r="O36" s="43">
        <f>COUNTIF(Vertices[Eigenvector Centrality],"&gt;= "&amp;N36)-COUNTIF(Vertices[Eigenvector Centrality],"&gt;="&amp;#REF!)</f>
        <v>1</v>
      </c>
      <c r="P36" s="42">
        <f>MAX(Vertices[PageRank])</f>
        <v>0.071207</v>
      </c>
      <c r="Q36" s="43">
        <f>COUNTIF(Vertices[PageRank],"&gt;= "&amp;P36)-COUNTIF(Vertices[PageRank],"&gt;="&amp;#REF!)</f>
        <v>1</v>
      </c>
      <c r="R36" s="42">
        <f>MAX(Vertices[Clustering Coefficient])</f>
        <v>0</v>
      </c>
      <c r="S36" s="46">
        <f>COUNTIF(Vertices[Clustering Coefficient],"&gt;= "&amp;R36)-COUNTIF(Vertices[Clustering Coefficient],"&gt;="&amp;#REF!)</f>
        <v>181</v>
      </c>
      <c r="T36" s="42" t="e">
        <f ca="1">MAX(INDIRECT(DynamicFilterSourceColumnRange))</f>
        <v>#REF!</v>
      </c>
      <c r="U36" s="43" t="e">
        <f ca="1">COUNTIF(INDIRECT(DynamicFilterSourceColumnRange),"&gt;= "&amp;T36)-COUNTIF(INDIRECT(DynamicFilterSourceColumnRange),"&gt;="&amp;#REF!)</f>
        <v>#REF!</v>
      </c>
    </row>
    <row r="37" spans="1:2" ht="15">
      <c r="A37" s="35" t="s">
        <v>1555</v>
      </c>
      <c r="B37" s="35" t="s">
        <v>211</v>
      </c>
    </row>
    <row r="38" spans="1:2" ht="15">
      <c r="A38" s="35" t="s">
        <v>1556</v>
      </c>
      <c r="B38" s="35" t="s">
        <v>211</v>
      </c>
    </row>
    <row r="39" spans="1:2" ht="15">
      <c r="A39" s="35" t="s">
        <v>1557</v>
      </c>
      <c r="B39" s="35"/>
    </row>
    <row r="40" spans="1:2" ht="15">
      <c r="A40" s="35" t="s">
        <v>21</v>
      </c>
      <c r="B40" s="35"/>
    </row>
    <row r="41" spans="1:2" ht="15">
      <c r="A41" s="35" t="s">
        <v>1558</v>
      </c>
      <c r="B41" s="35" t="s">
        <v>34</v>
      </c>
    </row>
    <row r="42" spans="1:2" ht="15">
      <c r="A42" s="35" t="s">
        <v>1559</v>
      </c>
      <c r="B42" s="35"/>
    </row>
    <row r="43" spans="1:2" ht="15">
      <c r="A43" s="35" t="s">
        <v>1560</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93</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8372</v>
      </c>
    </row>
    <row r="118" spans="1:2" ht="15">
      <c r="A118" s="34" t="s">
        <v>102</v>
      </c>
      <c r="B118" s="48">
        <f>_xlfn.IFERROR(AVERAGE(Vertices[Betweenness Centrality]),NoMetricMessage)</f>
        <v>49.20441988950276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0.511111</v>
      </c>
    </row>
    <row r="132" spans="1:2" ht="15">
      <c r="A132" s="34" t="s">
        <v>108</v>
      </c>
      <c r="B132" s="48">
        <f>_xlfn.IFERROR(AVERAGE(Vertices[Closeness Centrality]),NoMetricMessage)</f>
        <v>0.14426498895027587</v>
      </c>
    </row>
    <row r="133" spans="1:2" ht="15">
      <c r="A133" s="34" t="s">
        <v>109</v>
      </c>
      <c r="B133" s="48">
        <f>_xlfn.IFERROR(MEDIAN(Vertices[Closeness Centrality]),NoMetricMessage)</f>
        <v>0.256952</v>
      </c>
    </row>
    <row r="144" spans="1:2" ht="15">
      <c r="A144" s="34" t="s">
        <v>112</v>
      </c>
      <c r="B144" s="48">
        <f>IF(COUNT(Vertices[Eigenvector Centrality])&gt;0,N2,NoMetricMessage)</f>
        <v>0</v>
      </c>
    </row>
    <row r="145" spans="1:2" ht="15">
      <c r="A145" s="34" t="s">
        <v>113</v>
      </c>
      <c r="B145" s="48">
        <f>IF(COUNT(Vertices[Eigenvector Centrality])&gt;0,N36,NoMetricMessage)</f>
        <v>0.725261</v>
      </c>
    </row>
    <row r="146" spans="1:2" ht="15">
      <c r="A146" s="34" t="s">
        <v>114</v>
      </c>
      <c r="B146" s="48">
        <f>_xlfn.IFERROR(AVERAGE(Vertices[Eigenvector Centrality]),NoMetricMessage)</f>
        <v>0.040490812154696174</v>
      </c>
    </row>
    <row r="147" spans="1:2" ht="15">
      <c r="A147" s="34" t="s">
        <v>115</v>
      </c>
      <c r="B147" s="48">
        <f>_xlfn.IFERROR(MEDIAN(Vertices[Eigenvector Centrality]),NoMetricMessage)</f>
        <v>0.071778</v>
      </c>
    </row>
    <row r="158" spans="1:2" ht="15">
      <c r="A158" s="34" t="s">
        <v>140</v>
      </c>
      <c r="B158" s="48">
        <f>IF(COUNT(Vertices[PageRank])&gt;0,P2,NoMetricMessage)</f>
        <v>0.004811</v>
      </c>
    </row>
    <row r="159" spans="1:2" ht="15">
      <c r="A159" s="34" t="s">
        <v>141</v>
      </c>
      <c r="B159" s="48">
        <f>IF(COUNT(Vertices[PageRank])&gt;0,P36,NoMetricMessage)</f>
        <v>0.071207</v>
      </c>
    </row>
    <row r="160" spans="1:2" ht="15">
      <c r="A160" s="34" t="s">
        <v>142</v>
      </c>
      <c r="B160" s="48">
        <f>_xlfn.IFERROR(AVERAGE(Vertices[PageRank]),NoMetricMessage)</f>
        <v>0.005524944751381222</v>
      </c>
    </row>
    <row r="161" spans="1:2" ht="15">
      <c r="A161" s="34" t="s">
        <v>143</v>
      </c>
      <c r="B161" s="48">
        <f>_xlfn.IFERROR(MEDIAN(Vertices[PageRank]),NoMetricMessage)</f>
        <v>0.004811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1316</v>
      </c>
    </row>
    <row r="6" spans="1:18" ht="409.5">
      <c r="A6">
        <v>0</v>
      </c>
      <c r="B6" s="1" t="s">
        <v>136</v>
      </c>
      <c r="C6">
        <v>1</v>
      </c>
      <c r="D6" t="s">
        <v>59</v>
      </c>
      <c r="E6" t="s">
        <v>59</v>
      </c>
      <c r="F6">
        <v>0</v>
      </c>
      <c r="H6" t="s">
        <v>71</v>
      </c>
      <c r="J6" t="s">
        <v>173</v>
      </c>
      <c r="K6" s="13" t="s">
        <v>1317</v>
      </c>
      <c r="R6" t="s">
        <v>129</v>
      </c>
    </row>
    <row r="7" spans="1:11" ht="409.5">
      <c r="A7">
        <v>2</v>
      </c>
      <c r="B7">
        <v>1</v>
      </c>
      <c r="C7">
        <v>0</v>
      </c>
      <c r="D7" t="s">
        <v>60</v>
      </c>
      <c r="E7" t="s">
        <v>60</v>
      </c>
      <c r="F7">
        <v>2</v>
      </c>
      <c r="H7" t="s">
        <v>72</v>
      </c>
      <c r="J7" t="s">
        <v>174</v>
      </c>
      <c r="K7" s="13" t="s">
        <v>1318</v>
      </c>
    </row>
    <row r="8" spans="1:11" ht="409.5">
      <c r="A8"/>
      <c r="B8">
        <v>2</v>
      </c>
      <c r="C8">
        <v>2</v>
      </c>
      <c r="D8" t="s">
        <v>61</v>
      </c>
      <c r="E8" t="s">
        <v>61</v>
      </c>
      <c r="H8" t="s">
        <v>73</v>
      </c>
      <c r="J8" t="s">
        <v>175</v>
      </c>
      <c r="K8" s="65" t="s">
        <v>1796</v>
      </c>
    </row>
    <row r="9" spans="1:11" ht="409.5">
      <c r="A9"/>
      <c r="B9">
        <v>3</v>
      </c>
      <c r="C9">
        <v>4</v>
      </c>
      <c r="D9" t="s">
        <v>62</v>
      </c>
      <c r="E9" t="s">
        <v>62</v>
      </c>
      <c r="H9" t="s">
        <v>74</v>
      </c>
      <c r="J9" t="s">
        <v>176</v>
      </c>
      <c r="K9" s="13" t="s">
        <v>1797</v>
      </c>
    </row>
    <row r="10" spans="1:11" ht="15">
      <c r="A10"/>
      <c r="B10">
        <v>4</v>
      </c>
      <c r="D10" t="s">
        <v>63</v>
      </c>
      <c r="E10" t="s">
        <v>63</v>
      </c>
      <c r="H10" t="s">
        <v>75</v>
      </c>
      <c r="J10" t="s">
        <v>177</v>
      </c>
      <c r="K10" t="s">
        <v>1798</v>
      </c>
    </row>
    <row r="11" spans="1:11" ht="15">
      <c r="A11"/>
      <c r="B11">
        <v>5</v>
      </c>
      <c r="D11" t="s">
        <v>46</v>
      </c>
      <c r="E11">
        <v>1</v>
      </c>
      <c r="H11" t="s">
        <v>76</v>
      </c>
      <c r="J11" t="s">
        <v>178</v>
      </c>
      <c r="K11" t="s">
        <v>1799</v>
      </c>
    </row>
    <row r="12" spans="1:11" ht="15">
      <c r="A12"/>
      <c r="B12"/>
      <c r="D12" t="s">
        <v>64</v>
      </c>
      <c r="E12">
        <v>2</v>
      </c>
      <c r="H12">
        <v>0</v>
      </c>
      <c r="J12" t="s">
        <v>179</v>
      </c>
      <c r="K12" t="s">
        <v>1800</v>
      </c>
    </row>
    <row r="13" spans="1:11" ht="15">
      <c r="A13"/>
      <c r="B13"/>
      <c r="D13">
        <v>1</v>
      </c>
      <c r="E13">
        <v>3</v>
      </c>
      <c r="H13">
        <v>1</v>
      </c>
      <c r="J13" t="s">
        <v>180</v>
      </c>
      <c r="K13" t="s">
        <v>1801</v>
      </c>
    </row>
    <row r="14" spans="4:11" ht="15">
      <c r="D14">
        <v>2</v>
      </c>
      <c r="E14">
        <v>4</v>
      </c>
      <c r="H14">
        <v>2</v>
      </c>
      <c r="J14" t="s">
        <v>181</v>
      </c>
      <c r="K14" t="s">
        <v>1802</v>
      </c>
    </row>
    <row r="15" spans="4:11" ht="15">
      <c r="D15">
        <v>3</v>
      </c>
      <c r="E15">
        <v>5</v>
      </c>
      <c r="H15">
        <v>3</v>
      </c>
      <c r="J15" t="s">
        <v>182</v>
      </c>
      <c r="K15" t="s">
        <v>1803</v>
      </c>
    </row>
    <row r="16" spans="4:11" ht="15">
      <c r="D16">
        <v>4</v>
      </c>
      <c r="E16">
        <v>6</v>
      </c>
      <c r="H16">
        <v>4</v>
      </c>
      <c r="J16" t="s">
        <v>183</v>
      </c>
      <c r="K16" t="s">
        <v>1804</v>
      </c>
    </row>
    <row r="17" spans="4:11" ht="15">
      <c r="D17">
        <v>5</v>
      </c>
      <c r="E17">
        <v>7</v>
      </c>
      <c r="H17">
        <v>5</v>
      </c>
      <c r="J17" t="s">
        <v>184</v>
      </c>
      <c r="K17" t="s">
        <v>1805</v>
      </c>
    </row>
    <row r="18" spans="4:11" ht="15">
      <c r="D18">
        <v>6</v>
      </c>
      <c r="E18">
        <v>8</v>
      </c>
      <c r="H18">
        <v>6</v>
      </c>
      <c r="J18" t="s">
        <v>185</v>
      </c>
      <c r="K18" t="s">
        <v>1806</v>
      </c>
    </row>
    <row r="19" spans="4:11" ht="15">
      <c r="D19">
        <v>7</v>
      </c>
      <c r="E19">
        <v>9</v>
      </c>
      <c r="H19">
        <v>7</v>
      </c>
      <c r="J19" t="s">
        <v>186</v>
      </c>
      <c r="K19" t="s">
        <v>1807</v>
      </c>
    </row>
    <row r="20" spans="4:11" ht="409.5">
      <c r="D20">
        <v>8</v>
      </c>
      <c r="H20">
        <v>8</v>
      </c>
      <c r="J20" t="s">
        <v>187</v>
      </c>
      <c r="K20" s="13" t="s">
        <v>1808</v>
      </c>
    </row>
    <row r="21" spans="4:11" ht="409.5">
      <c r="D21">
        <v>9</v>
      </c>
      <c r="H21">
        <v>9</v>
      </c>
      <c r="J21" t="s">
        <v>188</v>
      </c>
      <c r="K21" s="13" t="s">
        <v>1809</v>
      </c>
    </row>
    <row r="22" spans="4:11" ht="409.5">
      <c r="D22">
        <v>10</v>
      </c>
      <c r="J22" t="s">
        <v>189</v>
      </c>
      <c r="K22" s="13" t="s">
        <v>1812</v>
      </c>
    </row>
    <row r="23" spans="4:11" ht="409.5">
      <c r="D23">
        <v>11</v>
      </c>
      <c r="J23" t="s">
        <v>190</v>
      </c>
      <c r="K23" s="13" t="s">
        <v>1813</v>
      </c>
    </row>
    <row r="24" spans="10:11" ht="15">
      <c r="J24" t="s">
        <v>191</v>
      </c>
      <c r="K24">
        <v>19</v>
      </c>
    </row>
    <row r="25" spans="10:11" ht="15">
      <c r="J25" t="s">
        <v>193</v>
      </c>
      <c r="K25" t="s">
        <v>1791</v>
      </c>
    </row>
    <row r="26" spans="10:11" ht="15">
      <c r="J26" t="s">
        <v>194</v>
      </c>
      <c r="K26" t="s">
        <v>1792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DF8-79A0-4F80-98FD-95CE37E22277}">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1345</v>
      </c>
      <c r="B1" s="13" t="s">
        <v>1522</v>
      </c>
      <c r="C1" s="13" t="s">
        <v>1526</v>
      </c>
      <c r="D1" s="13" t="s">
        <v>144</v>
      </c>
      <c r="E1" s="13" t="s">
        <v>1528</v>
      </c>
      <c r="F1" s="13" t="s">
        <v>1529</v>
      </c>
      <c r="G1" s="13" t="s">
        <v>1530</v>
      </c>
    </row>
    <row r="2" spans="1:7" ht="15">
      <c r="A2" s="81" t="s">
        <v>1346</v>
      </c>
      <c r="B2" s="81" t="s">
        <v>1523</v>
      </c>
      <c r="C2" s="108"/>
      <c r="D2" s="81"/>
      <c r="E2" s="81"/>
      <c r="F2" s="81"/>
      <c r="G2" s="81"/>
    </row>
    <row r="3" spans="1:7" ht="15">
      <c r="A3" s="82" t="s">
        <v>1347</v>
      </c>
      <c r="B3" s="81" t="s">
        <v>1524</v>
      </c>
      <c r="C3" s="108"/>
      <c r="D3" s="81"/>
      <c r="E3" s="81"/>
      <c r="F3" s="81"/>
      <c r="G3" s="81"/>
    </row>
    <row r="4" spans="1:7" ht="15">
      <c r="A4" s="82" t="s">
        <v>1348</v>
      </c>
      <c r="B4" s="81" t="s">
        <v>1525</v>
      </c>
      <c r="C4" s="108"/>
      <c r="D4" s="81"/>
      <c r="E4" s="81"/>
      <c r="F4" s="81"/>
      <c r="G4" s="81"/>
    </row>
    <row r="5" spans="1:7" ht="15">
      <c r="A5" s="82" t="s">
        <v>1349</v>
      </c>
      <c r="B5" s="81">
        <v>185</v>
      </c>
      <c r="C5" s="108">
        <v>0.06228956228956229</v>
      </c>
      <c r="D5" s="81"/>
      <c r="E5" s="81"/>
      <c r="F5" s="81"/>
      <c r="G5" s="81"/>
    </row>
    <row r="6" spans="1:7" ht="15">
      <c r="A6" s="82" t="s">
        <v>1350</v>
      </c>
      <c r="B6" s="81">
        <v>60</v>
      </c>
      <c r="C6" s="108">
        <v>0.020202020202020204</v>
      </c>
      <c r="D6" s="81"/>
      <c r="E6" s="81"/>
      <c r="F6" s="81"/>
      <c r="G6" s="81"/>
    </row>
    <row r="7" spans="1:7" ht="15">
      <c r="A7" s="82" t="s">
        <v>1351</v>
      </c>
      <c r="B7" s="81">
        <v>0</v>
      </c>
      <c r="C7" s="108">
        <v>0</v>
      </c>
      <c r="D7" s="81"/>
      <c r="E7" s="81"/>
      <c r="F7" s="81"/>
      <c r="G7" s="81"/>
    </row>
    <row r="8" spans="1:7" ht="15">
      <c r="A8" s="82" t="s">
        <v>1352</v>
      </c>
      <c r="B8" s="81">
        <v>973</v>
      </c>
      <c r="C8" s="108">
        <v>0.32760942760942763</v>
      </c>
      <c r="D8" s="81"/>
      <c r="E8" s="81"/>
      <c r="F8" s="81"/>
      <c r="G8" s="81"/>
    </row>
    <row r="9" spans="1:7" ht="15">
      <c r="A9" s="82" t="s">
        <v>1353</v>
      </c>
      <c r="B9" s="81">
        <v>2970</v>
      </c>
      <c r="C9" s="108">
        <v>1</v>
      </c>
      <c r="D9" s="81"/>
      <c r="E9" s="81"/>
      <c r="F9" s="81"/>
      <c r="G9" s="81"/>
    </row>
    <row r="10" spans="1:7" ht="15">
      <c r="A10" s="88" t="s">
        <v>1125</v>
      </c>
      <c r="B10" s="81">
        <v>22</v>
      </c>
      <c r="C10" s="108">
        <v>0.014628115433775618</v>
      </c>
      <c r="D10" s="81" t="s">
        <v>1527</v>
      </c>
      <c r="E10" s="81" t="b">
        <v>0</v>
      </c>
      <c r="F10" s="81" t="b">
        <v>0</v>
      </c>
      <c r="G10" s="81" t="b">
        <v>0</v>
      </c>
    </row>
    <row r="11" spans="1:7" ht="15">
      <c r="A11" s="88" t="s">
        <v>1354</v>
      </c>
      <c r="B11" s="81">
        <v>21</v>
      </c>
      <c r="C11" s="108">
        <v>0.015060943852245302</v>
      </c>
      <c r="D11" s="81" t="s">
        <v>1527</v>
      </c>
      <c r="E11" s="81" t="b">
        <v>0</v>
      </c>
      <c r="F11" s="81" t="b">
        <v>0</v>
      </c>
      <c r="G11" s="81" t="b">
        <v>0</v>
      </c>
    </row>
    <row r="12" spans="1:7" ht="15">
      <c r="A12" s="88" t="s">
        <v>1168</v>
      </c>
      <c r="B12" s="81">
        <v>21</v>
      </c>
      <c r="C12" s="108">
        <v>0.015893783155254873</v>
      </c>
      <c r="D12" s="81" t="s">
        <v>1527</v>
      </c>
      <c r="E12" s="81" t="b">
        <v>0</v>
      </c>
      <c r="F12" s="81" t="b">
        <v>0</v>
      </c>
      <c r="G12" s="81" t="b">
        <v>0</v>
      </c>
    </row>
    <row r="13" spans="1:7" ht="15">
      <c r="A13" s="88" t="s">
        <v>1162</v>
      </c>
      <c r="B13" s="81">
        <v>19</v>
      </c>
      <c r="C13" s="108">
        <v>0.014380089521421075</v>
      </c>
      <c r="D13" s="81" t="s">
        <v>1527</v>
      </c>
      <c r="E13" s="81" t="b">
        <v>1</v>
      </c>
      <c r="F13" s="81" t="b">
        <v>0</v>
      </c>
      <c r="G13" s="81" t="b">
        <v>0</v>
      </c>
    </row>
    <row r="14" spans="1:7" ht="15">
      <c r="A14" s="88" t="s">
        <v>1355</v>
      </c>
      <c r="B14" s="81">
        <v>16</v>
      </c>
      <c r="C14" s="108">
        <v>0.012455413618747213</v>
      </c>
      <c r="D14" s="81" t="s">
        <v>1527</v>
      </c>
      <c r="E14" s="81" t="b">
        <v>1</v>
      </c>
      <c r="F14" s="81" t="b">
        <v>0</v>
      </c>
      <c r="G14" s="81" t="b">
        <v>0</v>
      </c>
    </row>
    <row r="15" spans="1:7" ht="15">
      <c r="A15" s="88" t="s">
        <v>1356</v>
      </c>
      <c r="B15" s="81">
        <v>16</v>
      </c>
      <c r="C15" s="108">
        <v>0.015136792701255257</v>
      </c>
      <c r="D15" s="81" t="s">
        <v>1527</v>
      </c>
      <c r="E15" s="81" t="b">
        <v>0</v>
      </c>
      <c r="F15" s="81" t="b">
        <v>0</v>
      </c>
      <c r="G15" s="81" t="b">
        <v>0</v>
      </c>
    </row>
    <row r="16" spans="1:7" ht="15">
      <c r="A16" s="88" t="s">
        <v>1357</v>
      </c>
      <c r="B16" s="81">
        <v>15</v>
      </c>
      <c r="C16" s="108">
        <v>0.0127874999024165</v>
      </c>
      <c r="D16" s="81" t="s">
        <v>1527</v>
      </c>
      <c r="E16" s="81" t="b">
        <v>0</v>
      </c>
      <c r="F16" s="81" t="b">
        <v>0</v>
      </c>
      <c r="G16" s="81" t="b">
        <v>0</v>
      </c>
    </row>
    <row r="17" spans="1:7" ht="15">
      <c r="A17" s="88" t="s">
        <v>1127</v>
      </c>
      <c r="B17" s="81">
        <v>15</v>
      </c>
      <c r="C17" s="108">
        <v>0.012391136806709589</v>
      </c>
      <c r="D17" s="81" t="s">
        <v>1527</v>
      </c>
      <c r="E17" s="81" t="b">
        <v>0</v>
      </c>
      <c r="F17" s="81" t="b">
        <v>0</v>
      </c>
      <c r="G17" s="81" t="b">
        <v>0</v>
      </c>
    </row>
    <row r="18" spans="1:7" ht="15">
      <c r="A18" s="88" t="s">
        <v>1358</v>
      </c>
      <c r="B18" s="81">
        <v>14</v>
      </c>
      <c r="C18" s="108">
        <v>0.012334564348683122</v>
      </c>
      <c r="D18" s="81" t="s">
        <v>1527</v>
      </c>
      <c r="E18" s="81" t="b">
        <v>1</v>
      </c>
      <c r="F18" s="81" t="b">
        <v>0</v>
      </c>
      <c r="G18" s="81" t="b">
        <v>0</v>
      </c>
    </row>
    <row r="19" spans="1:7" ht="15">
      <c r="A19" s="88" t="s">
        <v>1359</v>
      </c>
      <c r="B19" s="81">
        <v>13</v>
      </c>
      <c r="C19" s="108">
        <v>0.011082499915427634</v>
      </c>
      <c r="D19" s="81" t="s">
        <v>1527</v>
      </c>
      <c r="E19" s="81" t="b">
        <v>1</v>
      </c>
      <c r="F19" s="81" t="b">
        <v>0</v>
      </c>
      <c r="G19" s="81" t="b">
        <v>0</v>
      </c>
    </row>
    <row r="20" spans="1:7" ht="15">
      <c r="A20" s="88" t="s">
        <v>1360</v>
      </c>
      <c r="B20" s="81">
        <v>12</v>
      </c>
      <c r="C20" s="108">
        <v>0.011803407240824943</v>
      </c>
      <c r="D20" s="81" t="s">
        <v>1527</v>
      </c>
      <c r="E20" s="81" t="b">
        <v>1</v>
      </c>
      <c r="F20" s="81" t="b">
        <v>0</v>
      </c>
      <c r="G20" s="81" t="b">
        <v>0</v>
      </c>
    </row>
    <row r="21" spans="1:7" ht="15">
      <c r="A21" s="88" t="s">
        <v>1361</v>
      </c>
      <c r="B21" s="81">
        <v>10</v>
      </c>
      <c r="C21" s="108">
        <v>0.009836172700687453</v>
      </c>
      <c r="D21" s="81" t="s">
        <v>1527</v>
      </c>
      <c r="E21" s="81" t="b">
        <v>0</v>
      </c>
      <c r="F21" s="81" t="b">
        <v>0</v>
      </c>
      <c r="G21" s="81" t="b">
        <v>0</v>
      </c>
    </row>
    <row r="22" spans="1:7" ht="15">
      <c r="A22" s="88" t="s">
        <v>1362</v>
      </c>
      <c r="B22" s="81">
        <v>10</v>
      </c>
      <c r="C22" s="108">
        <v>0.009836172700687453</v>
      </c>
      <c r="D22" s="81" t="s">
        <v>1527</v>
      </c>
      <c r="E22" s="81" t="b">
        <v>0</v>
      </c>
      <c r="F22" s="81" t="b">
        <v>0</v>
      </c>
      <c r="G22" s="81" t="b">
        <v>0</v>
      </c>
    </row>
    <row r="23" spans="1:7" ht="15">
      <c r="A23" s="88" t="s">
        <v>1364</v>
      </c>
      <c r="B23" s="81">
        <v>9</v>
      </c>
      <c r="C23" s="108">
        <v>0.01015372236945379</v>
      </c>
      <c r="D23" s="81" t="s">
        <v>1527</v>
      </c>
      <c r="E23" s="81" t="b">
        <v>0</v>
      </c>
      <c r="F23" s="81" t="b">
        <v>0</v>
      </c>
      <c r="G23" s="81" t="b">
        <v>0</v>
      </c>
    </row>
    <row r="24" spans="1:7" ht="15">
      <c r="A24" s="88" t="s">
        <v>1363</v>
      </c>
      <c r="B24" s="81">
        <v>9</v>
      </c>
      <c r="C24" s="108">
        <v>0.008852555430618707</v>
      </c>
      <c r="D24" s="81" t="s">
        <v>1527</v>
      </c>
      <c r="E24" s="81" t="b">
        <v>0</v>
      </c>
      <c r="F24" s="81" t="b">
        <v>0</v>
      </c>
      <c r="G24" s="81" t="b">
        <v>0</v>
      </c>
    </row>
    <row r="25" spans="1:7" ht="15">
      <c r="A25" s="88" t="s">
        <v>1365</v>
      </c>
      <c r="B25" s="81">
        <v>9</v>
      </c>
      <c r="C25" s="108">
        <v>0.01015372236945379</v>
      </c>
      <c r="D25" s="81" t="s">
        <v>1527</v>
      </c>
      <c r="E25" s="81" t="b">
        <v>0</v>
      </c>
      <c r="F25" s="81" t="b">
        <v>0</v>
      </c>
      <c r="G25" s="81" t="b">
        <v>0</v>
      </c>
    </row>
    <row r="26" spans="1:7" ht="15">
      <c r="A26" s="88" t="s">
        <v>1187</v>
      </c>
      <c r="B26" s="81">
        <v>8</v>
      </c>
      <c r="C26" s="108">
        <v>0.008204915319481858</v>
      </c>
      <c r="D26" s="81" t="s">
        <v>1527</v>
      </c>
      <c r="E26" s="81" t="b">
        <v>1</v>
      </c>
      <c r="F26" s="81" t="b">
        <v>0</v>
      </c>
      <c r="G26" s="81" t="b">
        <v>0</v>
      </c>
    </row>
    <row r="27" spans="1:7" ht="15">
      <c r="A27" s="88" t="s">
        <v>1368</v>
      </c>
      <c r="B27" s="81">
        <v>8</v>
      </c>
      <c r="C27" s="108">
        <v>0.00858581480702003</v>
      </c>
      <c r="D27" s="81" t="s">
        <v>1527</v>
      </c>
      <c r="E27" s="81" t="b">
        <v>0</v>
      </c>
      <c r="F27" s="81" t="b">
        <v>0</v>
      </c>
      <c r="G27" s="81" t="b">
        <v>0</v>
      </c>
    </row>
    <row r="28" spans="1:7" ht="15">
      <c r="A28" s="88" t="s">
        <v>1366</v>
      </c>
      <c r="B28" s="81">
        <v>8</v>
      </c>
      <c r="C28" s="108">
        <v>0.008204915319481858</v>
      </c>
      <c r="D28" s="81" t="s">
        <v>1527</v>
      </c>
      <c r="E28" s="81" t="b">
        <v>0</v>
      </c>
      <c r="F28" s="81" t="b">
        <v>0</v>
      </c>
      <c r="G28" s="81" t="b">
        <v>0</v>
      </c>
    </row>
    <row r="29" spans="1:7" ht="15">
      <c r="A29" s="88" t="s">
        <v>1367</v>
      </c>
      <c r="B29" s="81">
        <v>8</v>
      </c>
      <c r="C29" s="108">
        <v>0.00858581480702003</v>
      </c>
      <c r="D29" s="81" t="s">
        <v>1527</v>
      </c>
      <c r="E29" s="81" t="b">
        <v>0</v>
      </c>
      <c r="F29" s="81" t="b">
        <v>0</v>
      </c>
      <c r="G29" s="81" t="b">
        <v>0</v>
      </c>
    </row>
    <row r="30" spans="1:7" ht="15">
      <c r="A30" s="88" t="s">
        <v>1369</v>
      </c>
      <c r="B30" s="81">
        <v>7</v>
      </c>
      <c r="C30" s="108">
        <v>0.00789733962068628</v>
      </c>
      <c r="D30" s="81" t="s">
        <v>1527</v>
      </c>
      <c r="E30" s="81" t="b">
        <v>0</v>
      </c>
      <c r="F30" s="81" t="b">
        <v>0</v>
      </c>
      <c r="G30" s="81" t="b">
        <v>0</v>
      </c>
    </row>
    <row r="31" spans="1:7" ht="15">
      <c r="A31" s="88" t="s">
        <v>1370</v>
      </c>
      <c r="B31" s="81">
        <v>7</v>
      </c>
      <c r="C31" s="108">
        <v>0.0075125879561425265</v>
      </c>
      <c r="D31" s="81" t="s">
        <v>1527</v>
      </c>
      <c r="E31" s="81" t="b">
        <v>0</v>
      </c>
      <c r="F31" s="81" t="b">
        <v>0</v>
      </c>
      <c r="G31" s="81" t="b">
        <v>0</v>
      </c>
    </row>
    <row r="32" spans="1:7" ht="15">
      <c r="A32" s="88" t="s">
        <v>1371</v>
      </c>
      <c r="B32" s="81">
        <v>7</v>
      </c>
      <c r="C32" s="108">
        <v>0.00789733962068628</v>
      </c>
      <c r="D32" s="81" t="s">
        <v>1527</v>
      </c>
      <c r="E32" s="81" t="b">
        <v>1</v>
      </c>
      <c r="F32" s="81" t="b">
        <v>0</v>
      </c>
      <c r="G32" s="81" t="b">
        <v>0</v>
      </c>
    </row>
    <row r="33" spans="1:7" ht="15">
      <c r="A33" s="88" t="s">
        <v>1373</v>
      </c>
      <c r="B33" s="81">
        <v>6</v>
      </c>
      <c r="C33" s="108">
        <v>0.007636592872192581</v>
      </c>
      <c r="D33" s="81" t="s">
        <v>1527</v>
      </c>
      <c r="E33" s="81" t="b">
        <v>0</v>
      </c>
      <c r="F33" s="81" t="b">
        <v>0</v>
      </c>
      <c r="G33" s="81" t="b">
        <v>0</v>
      </c>
    </row>
    <row r="34" spans="1:7" ht="15">
      <c r="A34" s="88" t="s">
        <v>1372</v>
      </c>
      <c r="B34" s="81">
        <v>6</v>
      </c>
      <c r="C34" s="108">
        <v>0.006769148246302526</v>
      </c>
      <c r="D34" s="81" t="s">
        <v>1527</v>
      </c>
      <c r="E34" s="81" t="b">
        <v>0</v>
      </c>
      <c r="F34" s="81" t="b">
        <v>0</v>
      </c>
      <c r="G34" s="81" t="b">
        <v>0</v>
      </c>
    </row>
    <row r="35" spans="1:7" ht="15">
      <c r="A35" s="88" t="s">
        <v>1374</v>
      </c>
      <c r="B35" s="81">
        <v>6</v>
      </c>
      <c r="C35" s="108">
        <v>0.010602405637354958</v>
      </c>
      <c r="D35" s="81" t="s">
        <v>1527</v>
      </c>
      <c r="E35" s="81" t="b">
        <v>0</v>
      </c>
      <c r="F35" s="81" t="b">
        <v>0</v>
      </c>
      <c r="G35" s="81" t="b">
        <v>0</v>
      </c>
    </row>
    <row r="36" spans="1:7" ht="15">
      <c r="A36" s="88" t="s">
        <v>1375</v>
      </c>
      <c r="B36" s="81">
        <v>6</v>
      </c>
      <c r="C36" s="108">
        <v>0.007636592872192581</v>
      </c>
      <c r="D36" s="81" t="s">
        <v>1527</v>
      </c>
      <c r="E36" s="81" t="b">
        <v>1</v>
      </c>
      <c r="F36" s="81" t="b">
        <v>0</v>
      </c>
      <c r="G36" s="81" t="b">
        <v>0</v>
      </c>
    </row>
    <row r="37" spans="1:7" ht="15">
      <c r="A37" s="88" t="s">
        <v>1384</v>
      </c>
      <c r="B37" s="81">
        <v>5</v>
      </c>
      <c r="C37" s="108">
        <v>0.006363827393493818</v>
      </c>
      <c r="D37" s="81" t="s">
        <v>1527</v>
      </c>
      <c r="E37" s="81" t="b">
        <v>0</v>
      </c>
      <c r="F37" s="81" t="b">
        <v>0</v>
      </c>
      <c r="G37" s="81" t="b">
        <v>0</v>
      </c>
    </row>
    <row r="38" spans="1:7" ht="15">
      <c r="A38" s="88" t="s">
        <v>1380</v>
      </c>
      <c r="B38" s="81">
        <v>5</v>
      </c>
      <c r="C38" s="108">
        <v>0.005966003037959925</v>
      </c>
      <c r="D38" s="81" t="s">
        <v>1527</v>
      </c>
      <c r="E38" s="81" t="b">
        <v>0</v>
      </c>
      <c r="F38" s="81" t="b">
        <v>0</v>
      </c>
      <c r="G38" s="81" t="b">
        <v>0</v>
      </c>
    </row>
    <row r="39" spans="1:7" ht="15">
      <c r="A39" s="88" t="s">
        <v>1378</v>
      </c>
      <c r="B39" s="81">
        <v>5</v>
      </c>
      <c r="C39" s="108">
        <v>0.006363827393493818</v>
      </c>
      <c r="D39" s="81" t="s">
        <v>1527</v>
      </c>
      <c r="E39" s="81" t="b">
        <v>0</v>
      </c>
      <c r="F39" s="81" t="b">
        <v>0</v>
      </c>
      <c r="G39" s="81" t="b">
        <v>0</v>
      </c>
    </row>
    <row r="40" spans="1:7" ht="15">
      <c r="A40" s="88" t="s">
        <v>1377</v>
      </c>
      <c r="B40" s="81">
        <v>5</v>
      </c>
      <c r="C40" s="108">
        <v>0.005966003037959925</v>
      </c>
      <c r="D40" s="81" t="s">
        <v>1527</v>
      </c>
      <c r="E40" s="81" t="b">
        <v>0</v>
      </c>
      <c r="F40" s="81" t="b">
        <v>0</v>
      </c>
      <c r="G40" s="81" t="b">
        <v>0</v>
      </c>
    </row>
    <row r="41" spans="1:7" ht="15">
      <c r="A41" s="88" t="s">
        <v>1382</v>
      </c>
      <c r="B41" s="81">
        <v>5</v>
      </c>
      <c r="C41" s="108">
        <v>0.005966003037959925</v>
      </c>
      <c r="D41" s="81" t="s">
        <v>1527</v>
      </c>
      <c r="E41" s="81" t="b">
        <v>0</v>
      </c>
      <c r="F41" s="81" t="b">
        <v>0</v>
      </c>
      <c r="G41" s="81" t="b">
        <v>0</v>
      </c>
    </row>
    <row r="42" spans="1:7" ht="15">
      <c r="A42" s="88" t="s">
        <v>1383</v>
      </c>
      <c r="B42" s="81">
        <v>5</v>
      </c>
      <c r="C42" s="108">
        <v>0.005966003037959925</v>
      </c>
      <c r="D42" s="81" t="s">
        <v>1527</v>
      </c>
      <c r="E42" s="81" t="b">
        <v>0</v>
      </c>
      <c r="F42" s="81" t="b">
        <v>0</v>
      </c>
      <c r="G42" s="81" t="b">
        <v>0</v>
      </c>
    </row>
    <row r="43" spans="1:7" ht="15">
      <c r="A43" s="88" t="s">
        <v>1381</v>
      </c>
      <c r="B43" s="81">
        <v>5</v>
      </c>
      <c r="C43" s="108">
        <v>0.006363827393493818</v>
      </c>
      <c r="D43" s="81" t="s">
        <v>1527</v>
      </c>
      <c r="E43" s="81" t="b">
        <v>1</v>
      </c>
      <c r="F43" s="81" t="b">
        <v>0</v>
      </c>
      <c r="G43" s="81" t="b">
        <v>0</v>
      </c>
    </row>
    <row r="44" spans="1:7" ht="15">
      <c r="A44" s="88" t="s">
        <v>1376</v>
      </c>
      <c r="B44" s="81">
        <v>5</v>
      </c>
      <c r="C44" s="108">
        <v>0.006876712190736429</v>
      </c>
      <c r="D44" s="81" t="s">
        <v>1527</v>
      </c>
      <c r="E44" s="81" t="b">
        <v>0</v>
      </c>
      <c r="F44" s="81" t="b">
        <v>0</v>
      </c>
      <c r="G44" s="81" t="b">
        <v>0</v>
      </c>
    </row>
    <row r="45" spans="1:7" ht="15">
      <c r="A45" s="88" t="s">
        <v>1385</v>
      </c>
      <c r="B45" s="81">
        <v>5</v>
      </c>
      <c r="C45" s="108">
        <v>0.005966003037959925</v>
      </c>
      <c r="D45" s="81" t="s">
        <v>1527</v>
      </c>
      <c r="E45" s="81" t="b">
        <v>0</v>
      </c>
      <c r="F45" s="81" t="b">
        <v>0</v>
      </c>
      <c r="G45" s="81" t="b">
        <v>0</v>
      </c>
    </row>
    <row r="46" spans="1:7" ht="15">
      <c r="A46" s="88" t="s">
        <v>1379</v>
      </c>
      <c r="B46" s="81">
        <v>5</v>
      </c>
      <c r="C46" s="108">
        <v>0.006876712190736429</v>
      </c>
      <c r="D46" s="81" t="s">
        <v>1527</v>
      </c>
      <c r="E46" s="81" t="b">
        <v>0</v>
      </c>
      <c r="F46" s="81" t="b">
        <v>0</v>
      </c>
      <c r="G46" s="81" t="b">
        <v>0</v>
      </c>
    </row>
    <row r="47" spans="1:7" ht="15">
      <c r="A47" s="88" t="s">
        <v>1391</v>
      </c>
      <c r="B47" s="81">
        <v>4</v>
      </c>
      <c r="C47" s="108">
        <v>0.005501369752589143</v>
      </c>
      <c r="D47" s="81" t="s">
        <v>1527</v>
      </c>
      <c r="E47" s="81" t="b">
        <v>0</v>
      </c>
      <c r="F47" s="81" t="b">
        <v>0</v>
      </c>
      <c r="G47" s="81" t="b">
        <v>0</v>
      </c>
    </row>
    <row r="48" spans="1:7" ht="15">
      <c r="A48" s="88" t="s">
        <v>1401</v>
      </c>
      <c r="B48" s="81">
        <v>4</v>
      </c>
      <c r="C48" s="108">
        <v>0.005091061914795054</v>
      </c>
      <c r="D48" s="81" t="s">
        <v>1527</v>
      </c>
      <c r="E48" s="81" t="b">
        <v>0</v>
      </c>
      <c r="F48" s="81" t="b">
        <v>0</v>
      </c>
      <c r="G48" s="81" t="b">
        <v>0</v>
      </c>
    </row>
    <row r="49" spans="1:7" ht="15">
      <c r="A49" s="88" t="s">
        <v>1402</v>
      </c>
      <c r="B49" s="81">
        <v>4</v>
      </c>
      <c r="C49" s="108">
        <v>0.005501369752589143</v>
      </c>
      <c r="D49" s="81" t="s">
        <v>1527</v>
      </c>
      <c r="E49" s="81" t="b">
        <v>0</v>
      </c>
      <c r="F49" s="81" t="b">
        <v>0</v>
      </c>
      <c r="G49" s="81" t="b">
        <v>0</v>
      </c>
    </row>
    <row r="50" spans="1:7" ht="15">
      <c r="A50" s="88" t="s">
        <v>1390</v>
      </c>
      <c r="B50" s="81">
        <v>4</v>
      </c>
      <c r="C50" s="108">
        <v>0.007068270424903304</v>
      </c>
      <c r="D50" s="81" t="s">
        <v>1527</v>
      </c>
      <c r="E50" s="81" t="b">
        <v>0</v>
      </c>
      <c r="F50" s="81" t="b">
        <v>0</v>
      </c>
      <c r="G50" s="81" t="b">
        <v>0</v>
      </c>
    </row>
    <row r="51" spans="1:7" ht="15">
      <c r="A51" s="88" t="s">
        <v>1386</v>
      </c>
      <c r="B51" s="81">
        <v>4</v>
      </c>
      <c r="C51" s="108">
        <v>0.005501369752589143</v>
      </c>
      <c r="D51" s="81" t="s">
        <v>1527</v>
      </c>
      <c r="E51" s="81" t="b">
        <v>0</v>
      </c>
      <c r="F51" s="81" t="b">
        <v>0</v>
      </c>
      <c r="G51" s="81" t="b">
        <v>0</v>
      </c>
    </row>
    <row r="52" spans="1:7" ht="15">
      <c r="A52" s="88" t="s">
        <v>1389</v>
      </c>
      <c r="B52" s="81">
        <v>4</v>
      </c>
      <c r="C52" s="108">
        <v>0.00607966616984918</v>
      </c>
      <c r="D52" s="81" t="s">
        <v>1527</v>
      </c>
      <c r="E52" s="81" t="b">
        <v>0</v>
      </c>
      <c r="F52" s="81" t="b">
        <v>0</v>
      </c>
      <c r="G52" s="81" t="b">
        <v>0</v>
      </c>
    </row>
    <row r="53" spans="1:7" ht="15">
      <c r="A53" s="88" t="s">
        <v>1404</v>
      </c>
      <c r="B53" s="81">
        <v>4</v>
      </c>
      <c r="C53" s="108">
        <v>0.005091061914795054</v>
      </c>
      <c r="D53" s="81" t="s">
        <v>1527</v>
      </c>
      <c r="E53" s="81" t="b">
        <v>0</v>
      </c>
      <c r="F53" s="81" t="b">
        <v>0</v>
      </c>
      <c r="G53" s="81" t="b">
        <v>0</v>
      </c>
    </row>
    <row r="54" spans="1:7" ht="15">
      <c r="A54" s="88" t="s">
        <v>1394</v>
      </c>
      <c r="B54" s="81">
        <v>4</v>
      </c>
      <c r="C54" s="108">
        <v>0.005091061914795054</v>
      </c>
      <c r="D54" s="81" t="s">
        <v>1527</v>
      </c>
      <c r="E54" s="81" t="b">
        <v>0</v>
      </c>
      <c r="F54" s="81" t="b">
        <v>0</v>
      </c>
      <c r="G54" s="81" t="b">
        <v>0</v>
      </c>
    </row>
    <row r="55" spans="1:7" ht="15">
      <c r="A55" s="88" t="s">
        <v>1392</v>
      </c>
      <c r="B55" s="81">
        <v>4</v>
      </c>
      <c r="C55" s="108">
        <v>0.005091061914795054</v>
      </c>
      <c r="D55" s="81" t="s">
        <v>1527</v>
      </c>
      <c r="E55" s="81" t="b">
        <v>0</v>
      </c>
      <c r="F55" s="81" t="b">
        <v>0</v>
      </c>
      <c r="G55" s="81" t="b">
        <v>0</v>
      </c>
    </row>
    <row r="56" spans="1:7" ht="15">
      <c r="A56" s="88" t="s">
        <v>1397</v>
      </c>
      <c r="B56" s="81">
        <v>4</v>
      </c>
      <c r="C56" s="108">
        <v>0.005091061914795054</v>
      </c>
      <c r="D56" s="81" t="s">
        <v>1527</v>
      </c>
      <c r="E56" s="81" t="b">
        <v>0</v>
      </c>
      <c r="F56" s="81" t="b">
        <v>0</v>
      </c>
      <c r="G56" s="81" t="b">
        <v>0</v>
      </c>
    </row>
    <row r="57" spans="1:7" ht="15">
      <c r="A57" s="88" t="s">
        <v>1395</v>
      </c>
      <c r="B57" s="81">
        <v>4</v>
      </c>
      <c r="C57" s="108">
        <v>0.005091061914795054</v>
      </c>
      <c r="D57" s="81" t="s">
        <v>1527</v>
      </c>
      <c r="E57" s="81" t="b">
        <v>0</v>
      </c>
      <c r="F57" s="81" t="b">
        <v>0</v>
      </c>
      <c r="G57" s="81" t="b">
        <v>0</v>
      </c>
    </row>
    <row r="58" spans="1:7" ht="15">
      <c r="A58" s="88" t="s">
        <v>1406</v>
      </c>
      <c r="B58" s="81">
        <v>4</v>
      </c>
      <c r="C58" s="108">
        <v>0.005091061914795054</v>
      </c>
      <c r="D58" s="81" t="s">
        <v>1527</v>
      </c>
      <c r="E58" s="81" t="b">
        <v>0</v>
      </c>
      <c r="F58" s="81" t="b">
        <v>0</v>
      </c>
      <c r="G58" s="81" t="b">
        <v>0</v>
      </c>
    </row>
    <row r="59" spans="1:7" ht="15">
      <c r="A59" s="88" t="s">
        <v>1400</v>
      </c>
      <c r="B59" s="81">
        <v>4</v>
      </c>
      <c r="C59" s="108">
        <v>0.005091061914795054</v>
      </c>
      <c r="D59" s="81" t="s">
        <v>1527</v>
      </c>
      <c r="E59" s="81" t="b">
        <v>0</v>
      </c>
      <c r="F59" s="81" t="b">
        <v>0</v>
      </c>
      <c r="G59" s="81" t="b">
        <v>0</v>
      </c>
    </row>
    <row r="60" spans="1:7" ht="15">
      <c r="A60" s="88" t="s">
        <v>1407</v>
      </c>
      <c r="B60" s="81">
        <v>4</v>
      </c>
      <c r="C60" s="108">
        <v>0.005501369752589143</v>
      </c>
      <c r="D60" s="81" t="s">
        <v>1527</v>
      </c>
      <c r="E60" s="81" t="b">
        <v>0</v>
      </c>
      <c r="F60" s="81" t="b">
        <v>0</v>
      </c>
      <c r="G60" s="81" t="b">
        <v>0</v>
      </c>
    </row>
    <row r="61" spans="1:7" ht="15">
      <c r="A61" s="88" t="s">
        <v>1393</v>
      </c>
      <c r="B61" s="81">
        <v>4</v>
      </c>
      <c r="C61" s="108">
        <v>0.005091061914795054</v>
      </c>
      <c r="D61" s="81" t="s">
        <v>1527</v>
      </c>
      <c r="E61" s="81" t="b">
        <v>0</v>
      </c>
      <c r="F61" s="81" t="b">
        <v>0</v>
      </c>
      <c r="G61" s="81" t="b">
        <v>0</v>
      </c>
    </row>
    <row r="62" spans="1:7" ht="15">
      <c r="A62" s="88" t="s">
        <v>1388</v>
      </c>
      <c r="B62" s="81">
        <v>4</v>
      </c>
      <c r="C62" s="108">
        <v>0.00607966616984918</v>
      </c>
      <c r="D62" s="81" t="s">
        <v>1527</v>
      </c>
      <c r="E62" s="81" t="b">
        <v>0</v>
      </c>
      <c r="F62" s="81" t="b">
        <v>0</v>
      </c>
      <c r="G62" s="81" t="b">
        <v>0</v>
      </c>
    </row>
    <row r="63" spans="1:7" ht="15">
      <c r="A63" s="88" t="s">
        <v>1396</v>
      </c>
      <c r="B63" s="81">
        <v>4</v>
      </c>
      <c r="C63" s="108">
        <v>0.005501369752589143</v>
      </c>
      <c r="D63" s="81" t="s">
        <v>1527</v>
      </c>
      <c r="E63" s="81" t="b">
        <v>0</v>
      </c>
      <c r="F63" s="81" t="b">
        <v>0</v>
      </c>
      <c r="G63" s="81" t="b">
        <v>0</v>
      </c>
    </row>
    <row r="64" spans="1:7" ht="15">
      <c r="A64" s="88" t="s">
        <v>1398</v>
      </c>
      <c r="B64" s="81">
        <v>4</v>
      </c>
      <c r="C64" s="108">
        <v>0.005091061914795054</v>
      </c>
      <c r="D64" s="81" t="s">
        <v>1527</v>
      </c>
      <c r="E64" s="81" t="b">
        <v>0</v>
      </c>
      <c r="F64" s="81" t="b">
        <v>0</v>
      </c>
      <c r="G64" s="81" t="b">
        <v>0</v>
      </c>
    </row>
    <row r="65" spans="1:7" ht="15">
      <c r="A65" s="88" t="s">
        <v>1403</v>
      </c>
      <c r="B65" s="81">
        <v>4</v>
      </c>
      <c r="C65" s="108">
        <v>0.005091061914795054</v>
      </c>
      <c r="D65" s="81" t="s">
        <v>1527</v>
      </c>
      <c r="E65" s="81" t="b">
        <v>0</v>
      </c>
      <c r="F65" s="81" t="b">
        <v>0</v>
      </c>
      <c r="G65" s="81" t="b">
        <v>0</v>
      </c>
    </row>
    <row r="66" spans="1:7" ht="15">
      <c r="A66" s="88" t="s">
        <v>1399</v>
      </c>
      <c r="B66" s="81">
        <v>4</v>
      </c>
      <c r="C66" s="108">
        <v>0.005091061914795054</v>
      </c>
      <c r="D66" s="81" t="s">
        <v>1527</v>
      </c>
      <c r="E66" s="81" t="b">
        <v>1</v>
      </c>
      <c r="F66" s="81" t="b">
        <v>0</v>
      </c>
      <c r="G66" s="81" t="b">
        <v>0</v>
      </c>
    </row>
    <row r="67" spans="1:7" ht="15">
      <c r="A67" s="88" t="s">
        <v>1405</v>
      </c>
      <c r="B67" s="81">
        <v>4</v>
      </c>
      <c r="C67" s="108">
        <v>0.005091061914795054</v>
      </c>
      <c r="D67" s="81" t="s">
        <v>1527</v>
      </c>
      <c r="E67" s="81" t="b">
        <v>0</v>
      </c>
      <c r="F67" s="81" t="b">
        <v>0</v>
      </c>
      <c r="G67" s="81" t="b">
        <v>0</v>
      </c>
    </row>
    <row r="68" spans="1:7" ht="15">
      <c r="A68" s="88" t="s">
        <v>1387</v>
      </c>
      <c r="B68" s="81">
        <v>4</v>
      </c>
      <c r="C68" s="108">
        <v>0.005091061914795054</v>
      </c>
      <c r="D68" s="81" t="s">
        <v>1527</v>
      </c>
      <c r="E68" s="81" t="b">
        <v>1</v>
      </c>
      <c r="F68" s="81" t="b">
        <v>0</v>
      </c>
      <c r="G68" s="81" t="b">
        <v>0</v>
      </c>
    </row>
    <row r="69" spans="1:7" ht="15">
      <c r="A69" s="88" t="s">
        <v>1415</v>
      </c>
      <c r="B69" s="81">
        <v>3</v>
      </c>
      <c r="C69" s="108">
        <v>0.004126027314441857</v>
      </c>
      <c r="D69" s="81" t="s">
        <v>1527</v>
      </c>
      <c r="E69" s="81" t="b">
        <v>1</v>
      </c>
      <c r="F69" s="81" t="b">
        <v>0</v>
      </c>
      <c r="G69" s="81" t="b">
        <v>0</v>
      </c>
    </row>
    <row r="70" spans="1:7" ht="15">
      <c r="A70" s="88" t="s">
        <v>1414</v>
      </c>
      <c r="B70" s="81">
        <v>3</v>
      </c>
      <c r="C70" s="108">
        <v>0.004559749627386885</v>
      </c>
      <c r="D70" s="81" t="s">
        <v>1527</v>
      </c>
      <c r="E70" s="81" t="b">
        <v>0</v>
      </c>
      <c r="F70" s="81" t="b">
        <v>0</v>
      </c>
      <c r="G70" s="81" t="b">
        <v>0</v>
      </c>
    </row>
    <row r="71" spans="1:7" ht="15">
      <c r="A71" s="88" t="s">
        <v>1436</v>
      </c>
      <c r="B71" s="81">
        <v>3</v>
      </c>
      <c r="C71" s="108">
        <v>0.004126027314441857</v>
      </c>
      <c r="D71" s="81" t="s">
        <v>1527</v>
      </c>
      <c r="E71" s="81" t="b">
        <v>0</v>
      </c>
      <c r="F71" s="81" t="b">
        <v>0</v>
      </c>
      <c r="G71" s="81" t="b">
        <v>0</v>
      </c>
    </row>
    <row r="72" spans="1:7" ht="15">
      <c r="A72" s="88" t="s">
        <v>1423</v>
      </c>
      <c r="B72" s="81">
        <v>3</v>
      </c>
      <c r="C72" s="108">
        <v>0.004126027314441857</v>
      </c>
      <c r="D72" s="81" t="s">
        <v>1527</v>
      </c>
      <c r="E72" s="81" t="b">
        <v>0</v>
      </c>
      <c r="F72" s="81" t="b">
        <v>0</v>
      </c>
      <c r="G72" s="81" t="b">
        <v>0</v>
      </c>
    </row>
    <row r="73" spans="1:7" ht="15">
      <c r="A73" s="88" t="s">
        <v>1428</v>
      </c>
      <c r="B73" s="81">
        <v>3</v>
      </c>
      <c r="C73" s="108">
        <v>0.004559749627386885</v>
      </c>
      <c r="D73" s="81" t="s">
        <v>1527</v>
      </c>
      <c r="E73" s="81" t="b">
        <v>0</v>
      </c>
      <c r="F73" s="81" t="b">
        <v>1</v>
      </c>
      <c r="G73" s="81" t="b">
        <v>0</v>
      </c>
    </row>
    <row r="74" spans="1:7" ht="15">
      <c r="A74" s="88" t="s">
        <v>1443</v>
      </c>
      <c r="B74" s="81">
        <v>3</v>
      </c>
      <c r="C74" s="108">
        <v>0.004559749627386885</v>
      </c>
      <c r="D74" s="81" t="s">
        <v>1527</v>
      </c>
      <c r="E74" s="81" t="b">
        <v>0</v>
      </c>
      <c r="F74" s="81" t="b">
        <v>0</v>
      </c>
      <c r="G74" s="81" t="b">
        <v>0</v>
      </c>
    </row>
    <row r="75" spans="1:7" ht="15">
      <c r="A75" s="88" t="s">
        <v>1445</v>
      </c>
      <c r="B75" s="81">
        <v>3</v>
      </c>
      <c r="C75" s="108">
        <v>0.004126027314441857</v>
      </c>
      <c r="D75" s="81" t="s">
        <v>1527</v>
      </c>
      <c r="E75" s="81" t="b">
        <v>0</v>
      </c>
      <c r="F75" s="81" t="b">
        <v>0</v>
      </c>
      <c r="G75" s="81" t="b">
        <v>0</v>
      </c>
    </row>
    <row r="76" spans="1:7" ht="15">
      <c r="A76" s="88" t="s">
        <v>1427</v>
      </c>
      <c r="B76" s="81">
        <v>3</v>
      </c>
      <c r="C76" s="108">
        <v>0.004126027314441857</v>
      </c>
      <c r="D76" s="81" t="s">
        <v>1527</v>
      </c>
      <c r="E76" s="81" t="b">
        <v>0</v>
      </c>
      <c r="F76" s="81" t="b">
        <v>0</v>
      </c>
      <c r="G76" s="81" t="b">
        <v>0</v>
      </c>
    </row>
    <row r="77" spans="1:7" ht="15">
      <c r="A77" s="88" t="s">
        <v>1412</v>
      </c>
      <c r="B77" s="81">
        <v>3</v>
      </c>
      <c r="C77" s="108">
        <v>0.004559749627386885</v>
      </c>
      <c r="D77" s="81" t="s">
        <v>1527</v>
      </c>
      <c r="E77" s="81" t="b">
        <v>0</v>
      </c>
      <c r="F77" s="81" t="b">
        <v>0</v>
      </c>
      <c r="G77" s="81" t="b">
        <v>0</v>
      </c>
    </row>
    <row r="78" spans="1:7" ht="15">
      <c r="A78" s="88" t="s">
        <v>1410</v>
      </c>
      <c r="B78" s="81">
        <v>3</v>
      </c>
      <c r="C78" s="108">
        <v>0.004126027314441857</v>
      </c>
      <c r="D78" s="81" t="s">
        <v>1527</v>
      </c>
      <c r="E78" s="81" t="b">
        <v>0</v>
      </c>
      <c r="F78" s="81" t="b">
        <v>0</v>
      </c>
      <c r="G78" s="81" t="b">
        <v>0</v>
      </c>
    </row>
    <row r="79" spans="1:7" ht="15">
      <c r="A79" s="88" t="s">
        <v>1431</v>
      </c>
      <c r="B79" s="81">
        <v>3</v>
      </c>
      <c r="C79" s="108">
        <v>0.004126027314441857</v>
      </c>
      <c r="D79" s="81" t="s">
        <v>1527</v>
      </c>
      <c r="E79" s="81" t="b">
        <v>1</v>
      </c>
      <c r="F79" s="81" t="b">
        <v>0</v>
      </c>
      <c r="G79" s="81" t="b">
        <v>0</v>
      </c>
    </row>
    <row r="80" spans="1:7" ht="15">
      <c r="A80" s="88" t="s">
        <v>1417</v>
      </c>
      <c r="B80" s="81">
        <v>3</v>
      </c>
      <c r="C80" s="108">
        <v>0.004126027314441857</v>
      </c>
      <c r="D80" s="81" t="s">
        <v>1527</v>
      </c>
      <c r="E80" s="81" t="b">
        <v>0</v>
      </c>
      <c r="F80" s="81" t="b">
        <v>0</v>
      </c>
      <c r="G80" s="81" t="b">
        <v>0</v>
      </c>
    </row>
    <row r="81" spans="1:7" ht="15">
      <c r="A81" s="88" t="s">
        <v>1437</v>
      </c>
      <c r="B81" s="81">
        <v>3</v>
      </c>
      <c r="C81" s="108">
        <v>0.004126027314441857</v>
      </c>
      <c r="D81" s="81" t="s">
        <v>1527</v>
      </c>
      <c r="E81" s="81" t="b">
        <v>0</v>
      </c>
      <c r="F81" s="81" t="b">
        <v>0</v>
      </c>
      <c r="G81" s="81" t="b">
        <v>0</v>
      </c>
    </row>
    <row r="82" spans="1:7" ht="15">
      <c r="A82" s="88" t="s">
        <v>1444</v>
      </c>
      <c r="B82" s="81">
        <v>3</v>
      </c>
      <c r="C82" s="108">
        <v>0.004126027314441857</v>
      </c>
      <c r="D82" s="81" t="s">
        <v>1527</v>
      </c>
      <c r="E82" s="81" t="b">
        <v>0</v>
      </c>
      <c r="F82" s="81" t="b">
        <v>0</v>
      </c>
      <c r="G82" s="81" t="b">
        <v>0</v>
      </c>
    </row>
    <row r="83" spans="1:7" ht="15">
      <c r="A83" s="88" t="s">
        <v>1420</v>
      </c>
      <c r="B83" s="81">
        <v>3</v>
      </c>
      <c r="C83" s="108">
        <v>0.004559749627386885</v>
      </c>
      <c r="D83" s="81" t="s">
        <v>1527</v>
      </c>
      <c r="E83" s="81" t="b">
        <v>0</v>
      </c>
      <c r="F83" s="81" t="b">
        <v>1</v>
      </c>
      <c r="G83" s="81" t="b">
        <v>0</v>
      </c>
    </row>
    <row r="84" spans="1:7" ht="15">
      <c r="A84" s="88" t="s">
        <v>1422</v>
      </c>
      <c r="B84" s="81">
        <v>3</v>
      </c>
      <c r="C84" s="108">
        <v>0.004126027314441857</v>
      </c>
      <c r="D84" s="81" t="s">
        <v>1527</v>
      </c>
      <c r="E84" s="81" t="b">
        <v>0</v>
      </c>
      <c r="F84" s="81" t="b">
        <v>0</v>
      </c>
      <c r="G84" s="81" t="b">
        <v>0</v>
      </c>
    </row>
    <row r="85" spans="1:7" ht="15">
      <c r="A85" s="88" t="s">
        <v>1435</v>
      </c>
      <c r="B85" s="81">
        <v>3</v>
      </c>
      <c r="C85" s="108">
        <v>0.004126027314441857</v>
      </c>
      <c r="D85" s="81" t="s">
        <v>1527</v>
      </c>
      <c r="E85" s="81" t="b">
        <v>0</v>
      </c>
      <c r="F85" s="81" t="b">
        <v>0</v>
      </c>
      <c r="G85" s="81" t="b">
        <v>0</v>
      </c>
    </row>
    <row r="86" spans="1:7" ht="15">
      <c r="A86" s="88" t="s">
        <v>1432</v>
      </c>
      <c r="B86" s="81">
        <v>3</v>
      </c>
      <c r="C86" s="108">
        <v>0.004126027314441857</v>
      </c>
      <c r="D86" s="81" t="s">
        <v>1527</v>
      </c>
      <c r="E86" s="81" t="b">
        <v>0</v>
      </c>
      <c r="F86" s="81" t="b">
        <v>0</v>
      </c>
      <c r="G86" s="81" t="b">
        <v>0</v>
      </c>
    </row>
    <row r="87" spans="1:7" ht="15">
      <c r="A87" s="88" t="s">
        <v>1408</v>
      </c>
      <c r="B87" s="81">
        <v>3</v>
      </c>
      <c r="C87" s="108">
        <v>0.004126027314441857</v>
      </c>
      <c r="D87" s="81" t="s">
        <v>1527</v>
      </c>
      <c r="E87" s="81" t="b">
        <v>0</v>
      </c>
      <c r="F87" s="81" t="b">
        <v>0</v>
      </c>
      <c r="G87" s="81" t="b">
        <v>0</v>
      </c>
    </row>
    <row r="88" spans="1:7" ht="15">
      <c r="A88" s="88" t="s">
        <v>1439</v>
      </c>
      <c r="B88" s="81">
        <v>3</v>
      </c>
      <c r="C88" s="108">
        <v>0.004559749627386885</v>
      </c>
      <c r="D88" s="81" t="s">
        <v>1527</v>
      </c>
      <c r="E88" s="81" t="b">
        <v>1</v>
      </c>
      <c r="F88" s="81" t="b">
        <v>0</v>
      </c>
      <c r="G88" s="81" t="b">
        <v>0</v>
      </c>
    </row>
    <row r="89" spans="1:7" ht="15">
      <c r="A89" s="88" t="s">
        <v>1442</v>
      </c>
      <c r="B89" s="81">
        <v>3</v>
      </c>
      <c r="C89" s="108">
        <v>0.004559749627386885</v>
      </c>
      <c r="D89" s="81" t="s">
        <v>1527</v>
      </c>
      <c r="E89" s="81" t="b">
        <v>1</v>
      </c>
      <c r="F89" s="81" t="b">
        <v>0</v>
      </c>
      <c r="G89" s="81" t="b">
        <v>0</v>
      </c>
    </row>
    <row r="90" spans="1:7" ht="15">
      <c r="A90" s="88" t="s">
        <v>1411</v>
      </c>
      <c r="B90" s="81">
        <v>3</v>
      </c>
      <c r="C90" s="108">
        <v>0.004559749627386885</v>
      </c>
      <c r="D90" s="81" t="s">
        <v>1527</v>
      </c>
      <c r="E90" s="81" t="b">
        <v>0</v>
      </c>
      <c r="F90" s="81" t="b">
        <v>0</v>
      </c>
      <c r="G90" s="81" t="b">
        <v>0</v>
      </c>
    </row>
    <row r="91" spans="1:7" ht="15">
      <c r="A91" s="88" t="s">
        <v>1430</v>
      </c>
      <c r="B91" s="81">
        <v>3</v>
      </c>
      <c r="C91" s="108">
        <v>0.004126027314441857</v>
      </c>
      <c r="D91" s="81" t="s">
        <v>1527</v>
      </c>
      <c r="E91" s="81" t="b">
        <v>0</v>
      </c>
      <c r="F91" s="81" t="b">
        <v>0</v>
      </c>
      <c r="G91" s="81" t="b">
        <v>0</v>
      </c>
    </row>
    <row r="92" spans="1:7" ht="15">
      <c r="A92" s="88" t="s">
        <v>1421</v>
      </c>
      <c r="B92" s="81">
        <v>3</v>
      </c>
      <c r="C92" s="108">
        <v>0.004559749627386885</v>
      </c>
      <c r="D92" s="81" t="s">
        <v>1527</v>
      </c>
      <c r="E92" s="81" t="b">
        <v>0</v>
      </c>
      <c r="F92" s="81" t="b">
        <v>0</v>
      </c>
      <c r="G92" s="81" t="b">
        <v>0</v>
      </c>
    </row>
    <row r="93" spans="1:7" ht="15">
      <c r="A93" s="88" t="s">
        <v>1418</v>
      </c>
      <c r="B93" s="81">
        <v>3</v>
      </c>
      <c r="C93" s="108">
        <v>0.004126027314441857</v>
      </c>
      <c r="D93" s="81" t="s">
        <v>1527</v>
      </c>
      <c r="E93" s="81" t="b">
        <v>0</v>
      </c>
      <c r="F93" s="81" t="b">
        <v>0</v>
      </c>
      <c r="G93" s="81" t="b">
        <v>0</v>
      </c>
    </row>
    <row r="94" spans="1:7" ht="15">
      <c r="A94" s="88" t="s">
        <v>1438</v>
      </c>
      <c r="B94" s="81">
        <v>3</v>
      </c>
      <c r="C94" s="108">
        <v>0.004126027314441857</v>
      </c>
      <c r="D94" s="81" t="s">
        <v>1527</v>
      </c>
      <c r="E94" s="81" t="b">
        <v>1</v>
      </c>
      <c r="F94" s="81" t="b">
        <v>0</v>
      </c>
      <c r="G94" s="81" t="b">
        <v>0</v>
      </c>
    </row>
    <row r="95" spans="1:7" ht="15">
      <c r="A95" s="88" t="s">
        <v>1433</v>
      </c>
      <c r="B95" s="81">
        <v>3</v>
      </c>
      <c r="C95" s="108">
        <v>0.004126027314441857</v>
      </c>
      <c r="D95" s="81" t="s">
        <v>1527</v>
      </c>
      <c r="E95" s="81" t="b">
        <v>0</v>
      </c>
      <c r="F95" s="81" t="b">
        <v>0</v>
      </c>
      <c r="G95" s="81" t="b">
        <v>0</v>
      </c>
    </row>
    <row r="96" spans="1:7" ht="15">
      <c r="A96" s="88" t="s">
        <v>1413</v>
      </c>
      <c r="B96" s="81">
        <v>3</v>
      </c>
      <c r="C96" s="108">
        <v>0.004126027314441857</v>
      </c>
      <c r="D96" s="81" t="s">
        <v>1527</v>
      </c>
      <c r="E96" s="81" t="b">
        <v>0</v>
      </c>
      <c r="F96" s="81" t="b">
        <v>0</v>
      </c>
      <c r="G96" s="81" t="b">
        <v>0</v>
      </c>
    </row>
    <row r="97" spans="1:7" ht="15">
      <c r="A97" s="88" t="s">
        <v>1419</v>
      </c>
      <c r="B97" s="81">
        <v>3</v>
      </c>
      <c r="C97" s="108">
        <v>0.004126027314441857</v>
      </c>
      <c r="D97" s="81" t="s">
        <v>1527</v>
      </c>
      <c r="E97" s="81" t="b">
        <v>0</v>
      </c>
      <c r="F97" s="81" t="b">
        <v>1</v>
      </c>
      <c r="G97" s="81" t="b">
        <v>0</v>
      </c>
    </row>
    <row r="98" spans="1:7" ht="15">
      <c r="A98" s="88" t="s">
        <v>1446</v>
      </c>
      <c r="B98" s="81">
        <v>3</v>
      </c>
      <c r="C98" s="108">
        <v>0.004126027314441857</v>
      </c>
      <c r="D98" s="81" t="s">
        <v>1527</v>
      </c>
      <c r="E98" s="81" t="b">
        <v>0</v>
      </c>
      <c r="F98" s="81" t="b">
        <v>0</v>
      </c>
      <c r="G98" s="81" t="b">
        <v>0</v>
      </c>
    </row>
    <row r="99" spans="1:7" ht="15">
      <c r="A99" s="88" t="s">
        <v>1424</v>
      </c>
      <c r="B99" s="81">
        <v>3</v>
      </c>
      <c r="C99" s="108">
        <v>0.004126027314441857</v>
      </c>
      <c r="D99" s="81" t="s">
        <v>1527</v>
      </c>
      <c r="E99" s="81" t="b">
        <v>0</v>
      </c>
      <c r="F99" s="81" t="b">
        <v>0</v>
      </c>
      <c r="G99" s="81" t="b">
        <v>0</v>
      </c>
    </row>
    <row r="100" spans="1:7" ht="15">
      <c r="A100" s="88" t="s">
        <v>1409</v>
      </c>
      <c r="B100" s="81">
        <v>3</v>
      </c>
      <c r="C100" s="108">
        <v>0.004126027314441857</v>
      </c>
      <c r="D100" s="81" t="s">
        <v>1527</v>
      </c>
      <c r="E100" s="81" t="b">
        <v>0</v>
      </c>
      <c r="F100" s="81" t="b">
        <v>0</v>
      </c>
      <c r="G100" s="81" t="b">
        <v>0</v>
      </c>
    </row>
    <row r="101" spans="1:7" ht="15">
      <c r="A101" s="88" t="s">
        <v>1426</v>
      </c>
      <c r="B101" s="81">
        <v>3</v>
      </c>
      <c r="C101" s="108">
        <v>0.004126027314441857</v>
      </c>
      <c r="D101" s="81" t="s">
        <v>1527</v>
      </c>
      <c r="E101" s="81" t="b">
        <v>0</v>
      </c>
      <c r="F101" s="81" t="b">
        <v>0</v>
      </c>
      <c r="G101" s="81" t="b">
        <v>0</v>
      </c>
    </row>
    <row r="102" spans="1:7" ht="15">
      <c r="A102" s="88" t="s">
        <v>1434</v>
      </c>
      <c r="B102" s="81">
        <v>3</v>
      </c>
      <c r="C102" s="108">
        <v>0.004126027314441857</v>
      </c>
      <c r="D102" s="81" t="s">
        <v>1527</v>
      </c>
      <c r="E102" s="81" t="b">
        <v>0</v>
      </c>
      <c r="F102" s="81" t="b">
        <v>0</v>
      </c>
      <c r="G102" s="81" t="b">
        <v>0</v>
      </c>
    </row>
    <row r="103" spans="1:7" ht="15">
      <c r="A103" s="88" t="s">
        <v>1429</v>
      </c>
      <c r="B103" s="81">
        <v>3</v>
      </c>
      <c r="C103" s="108">
        <v>0.004126027314441857</v>
      </c>
      <c r="D103" s="81" t="s">
        <v>1527</v>
      </c>
      <c r="E103" s="81" t="b">
        <v>0</v>
      </c>
      <c r="F103" s="81" t="b">
        <v>0</v>
      </c>
      <c r="G103" s="81" t="b">
        <v>0</v>
      </c>
    </row>
    <row r="104" spans="1:7" ht="15">
      <c r="A104" s="88" t="s">
        <v>1105</v>
      </c>
      <c r="B104" s="81">
        <v>3</v>
      </c>
      <c r="C104" s="108">
        <v>0.004126027314441857</v>
      </c>
      <c r="D104" s="81" t="s">
        <v>1527</v>
      </c>
      <c r="E104" s="81" t="b">
        <v>1</v>
      </c>
      <c r="F104" s="81" t="b">
        <v>0</v>
      </c>
      <c r="G104" s="81" t="b">
        <v>0</v>
      </c>
    </row>
    <row r="105" spans="1:7" ht="15">
      <c r="A105" s="88" t="s">
        <v>1440</v>
      </c>
      <c r="B105" s="81">
        <v>3</v>
      </c>
      <c r="C105" s="108">
        <v>0.004126027314441857</v>
      </c>
      <c r="D105" s="81" t="s">
        <v>1527</v>
      </c>
      <c r="E105" s="81" t="b">
        <v>0</v>
      </c>
      <c r="F105" s="81" t="b">
        <v>0</v>
      </c>
      <c r="G105" s="81" t="b">
        <v>0</v>
      </c>
    </row>
    <row r="106" spans="1:7" ht="15">
      <c r="A106" s="88" t="s">
        <v>1425</v>
      </c>
      <c r="B106" s="81">
        <v>3</v>
      </c>
      <c r="C106" s="108">
        <v>0.004126027314441857</v>
      </c>
      <c r="D106" s="81" t="s">
        <v>1527</v>
      </c>
      <c r="E106" s="81" t="b">
        <v>1</v>
      </c>
      <c r="F106" s="81" t="b">
        <v>0</v>
      </c>
      <c r="G106" s="81" t="b">
        <v>0</v>
      </c>
    </row>
    <row r="107" spans="1:7" ht="15">
      <c r="A107" s="88" t="s">
        <v>1441</v>
      </c>
      <c r="B107" s="81">
        <v>3</v>
      </c>
      <c r="C107" s="108">
        <v>0.004559749627386885</v>
      </c>
      <c r="D107" s="81" t="s">
        <v>1527</v>
      </c>
      <c r="E107" s="81" t="b">
        <v>0</v>
      </c>
      <c r="F107" s="81" t="b">
        <v>0</v>
      </c>
      <c r="G107" s="81" t="b">
        <v>0</v>
      </c>
    </row>
    <row r="108" spans="1:7" ht="15">
      <c r="A108" s="88" t="s">
        <v>1416</v>
      </c>
      <c r="B108" s="81">
        <v>3</v>
      </c>
      <c r="C108" s="108">
        <v>0.004126027314441857</v>
      </c>
      <c r="D108" s="81" t="s">
        <v>1527</v>
      </c>
      <c r="E108" s="81" t="b">
        <v>1</v>
      </c>
      <c r="F108" s="81" t="b">
        <v>0</v>
      </c>
      <c r="G108" s="81" t="b">
        <v>0</v>
      </c>
    </row>
    <row r="109" spans="1:7" ht="15">
      <c r="A109" s="88" t="s">
        <v>1453</v>
      </c>
      <c r="B109" s="81">
        <v>2</v>
      </c>
      <c r="C109" s="108">
        <v>0.00303983308492459</v>
      </c>
      <c r="D109" s="81" t="s">
        <v>1527</v>
      </c>
      <c r="E109" s="81" t="b">
        <v>0</v>
      </c>
      <c r="F109" s="81" t="b">
        <v>0</v>
      </c>
      <c r="G109" s="81" t="b">
        <v>0</v>
      </c>
    </row>
    <row r="110" spans="1:7" ht="15">
      <c r="A110" s="88" t="s">
        <v>1502</v>
      </c>
      <c r="B110" s="81">
        <v>2</v>
      </c>
      <c r="C110" s="108">
        <v>0.00303983308492459</v>
      </c>
      <c r="D110" s="81" t="s">
        <v>1527</v>
      </c>
      <c r="E110" s="81" t="b">
        <v>0</v>
      </c>
      <c r="F110" s="81" t="b">
        <v>1</v>
      </c>
      <c r="G110" s="81" t="b">
        <v>0</v>
      </c>
    </row>
    <row r="111" spans="1:7" ht="15">
      <c r="A111" s="88" t="s">
        <v>1497</v>
      </c>
      <c r="B111" s="81">
        <v>2</v>
      </c>
      <c r="C111" s="108">
        <v>0.003534135212451652</v>
      </c>
      <c r="D111" s="81" t="s">
        <v>1527</v>
      </c>
      <c r="E111" s="81" t="b">
        <v>0</v>
      </c>
      <c r="F111" s="81" t="b">
        <v>0</v>
      </c>
      <c r="G111" s="81" t="b">
        <v>0</v>
      </c>
    </row>
    <row r="112" spans="1:7" ht="15">
      <c r="A112" s="88" t="s">
        <v>1479</v>
      </c>
      <c r="B112" s="81">
        <v>2</v>
      </c>
      <c r="C112" s="108">
        <v>0.00303983308492459</v>
      </c>
      <c r="D112" s="81" t="s">
        <v>1527</v>
      </c>
      <c r="E112" s="81" t="b">
        <v>0</v>
      </c>
      <c r="F112" s="81" t="b">
        <v>0</v>
      </c>
      <c r="G112" s="81" t="b">
        <v>0</v>
      </c>
    </row>
    <row r="113" spans="1:7" ht="15">
      <c r="A113" s="88" t="s">
        <v>1476</v>
      </c>
      <c r="B113" s="81">
        <v>2</v>
      </c>
      <c r="C113" s="108">
        <v>0.003534135212451652</v>
      </c>
      <c r="D113" s="81" t="s">
        <v>1527</v>
      </c>
      <c r="E113" s="81" t="b">
        <v>0</v>
      </c>
      <c r="F113" s="81" t="b">
        <v>0</v>
      </c>
      <c r="G113" s="81" t="b">
        <v>0</v>
      </c>
    </row>
    <row r="114" spans="1:7" ht="15">
      <c r="A114" s="88" t="s">
        <v>1514</v>
      </c>
      <c r="B114" s="81">
        <v>2</v>
      </c>
      <c r="C114" s="108">
        <v>0.00303983308492459</v>
      </c>
      <c r="D114" s="81" t="s">
        <v>1527</v>
      </c>
      <c r="E114" s="81" t="b">
        <v>0</v>
      </c>
      <c r="F114" s="81" t="b">
        <v>0</v>
      </c>
      <c r="G114" s="81" t="b">
        <v>0</v>
      </c>
    </row>
    <row r="115" spans="1:7" ht="15">
      <c r="A115" s="88" t="s">
        <v>1485</v>
      </c>
      <c r="B115" s="81">
        <v>2</v>
      </c>
      <c r="C115" s="108">
        <v>0.00303983308492459</v>
      </c>
      <c r="D115" s="81" t="s">
        <v>1527</v>
      </c>
      <c r="E115" s="81" t="b">
        <v>0</v>
      </c>
      <c r="F115" s="81" t="b">
        <v>0</v>
      </c>
      <c r="G115" s="81" t="b">
        <v>0</v>
      </c>
    </row>
    <row r="116" spans="1:7" ht="15">
      <c r="A116" s="88" t="s">
        <v>1483</v>
      </c>
      <c r="B116" s="81">
        <v>2</v>
      </c>
      <c r="C116" s="108">
        <v>0.00303983308492459</v>
      </c>
      <c r="D116" s="81" t="s">
        <v>1527</v>
      </c>
      <c r="E116" s="81" t="b">
        <v>0</v>
      </c>
      <c r="F116" s="81" t="b">
        <v>0</v>
      </c>
      <c r="G116" s="81" t="b">
        <v>0</v>
      </c>
    </row>
    <row r="117" spans="1:7" ht="15">
      <c r="A117" s="88" t="s">
        <v>1501</v>
      </c>
      <c r="B117" s="81">
        <v>2</v>
      </c>
      <c r="C117" s="108">
        <v>0.00303983308492459</v>
      </c>
      <c r="D117" s="81" t="s">
        <v>1527</v>
      </c>
      <c r="E117" s="81" t="b">
        <v>0</v>
      </c>
      <c r="F117" s="81" t="b">
        <v>0</v>
      </c>
      <c r="G117" s="81" t="b">
        <v>0</v>
      </c>
    </row>
    <row r="118" spans="1:7" ht="15">
      <c r="A118" s="88" t="s">
        <v>1506</v>
      </c>
      <c r="B118" s="81">
        <v>2</v>
      </c>
      <c r="C118" s="108">
        <v>0.00303983308492459</v>
      </c>
      <c r="D118" s="81" t="s">
        <v>1527</v>
      </c>
      <c r="E118" s="81" t="b">
        <v>0</v>
      </c>
      <c r="F118" s="81" t="b">
        <v>0</v>
      </c>
      <c r="G118" s="81" t="b">
        <v>0</v>
      </c>
    </row>
    <row r="119" spans="1:7" ht="15">
      <c r="A119" s="88" t="s">
        <v>1467</v>
      </c>
      <c r="B119" s="81">
        <v>2</v>
      </c>
      <c r="C119" s="108">
        <v>0.00303983308492459</v>
      </c>
      <c r="D119" s="81" t="s">
        <v>1527</v>
      </c>
      <c r="E119" s="81" t="b">
        <v>1</v>
      </c>
      <c r="F119" s="81" t="b">
        <v>0</v>
      </c>
      <c r="G119" s="81" t="b">
        <v>0</v>
      </c>
    </row>
    <row r="120" spans="1:7" ht="15">
      <c r="A120" s="88" t="s">
        <v>1478</v>
      </c>
      <c r="B120" s="81">
        <v>2</v>
      </c>
      <c r="C120" s="108">
        <v>0.003534135212451652</v>
      </c>
      <c r="D120" s="81" t="s">
        <v>1527</v>
      </c>
      <c r="E120" s="81" t="b">
        <v>0</v>
      </c>
      <c r="F120" s="81" t="b">
        <v>0</v>
      </c>
      <c r="G120" s="81" t="b">
        <v>0</v>
      </c>
    </row>
    <row r="121" spans="1:7" ht="15">
      <c r="A121" s="88" t="s">
        <v>1459</v>
      </c>
      <c r="B121" s="81">
        <v>2</v>
      </c>
      <c r="C121" s="108">
        <v>0.003534135212451652</v>
      </c>
      <c r="D121" s="81" t="s">
        <v>1527</v>
      </c>
      <c r="E121" s="81" t="b">
        <v>0</v>
      </c>
      <c r="F121" s="81" t="b">
        <v>0</v>
      </c>
      <c r="G121" s="81" t="b">
        <v>0</v>
      </c>
    </row>
    <row r="122" spans="1:7" ht="15">
      <c r="A122" s="88" t="s">
        <v>1447</v>
      </c>
      <c r="B122" s="81">
        <v>2</v>
      </c>
      <c r="C122" s="108">
        <v>0.00303983308492459</v>
      </c>
      <c r="D122" s="81" t="s">
        <v>1527</v>
      </c>
      <c r="E122" s="81" t="b">
        <v>0</v>
      </c>
      <c r="F122" s="81" t="b">
        <v>0</v>
      </c>
      <c r="G122" s="81" t="b">
        <v>0</v>
      </c>
    </row>
    <row r="123" spans="1:7" ht="15">
      <c r="A123" s="88" t="s">
        <v>1518</v>
      </c>
      <c r="B123" s="81">
        <v>2</v>
      </c>
      <c r="C123" s="108">
        <v>0.003534135212451652</v>
      </c>
      <c r="D123" s="81" t="s">
        <v>1527</v>
      </c>
      <c r="E123" s="81" t="b">
        <v>0</v>
      </c>
      <c r="F123" s="81" t="b">
        <v>0</v>
      </c>
      <c r="G123" s="81" t="b">
        <v>0</v>
      </c>
    </row>
    <row r="124" spans="1:7" ht="15">
      <c r="A124" s="88" t="s">
        <v>1493</v>
      </c>
      <c r="B124" s="81">
        <v>2</v>
      </c>
      <c r="C124" s="108">
        <v>0.00303983308492459</v>
      </c>
      <c r="D124" s="81" t="s">
        <v>1527</v>
      </c>
      <c r="E124" s="81" t="b">
        <v>0</v>
      </c>
      <c r="F124" s="81" t="b">
        <v>0</v>
      </c>
      <c r="G124" s="81" t="b">
        <v>0</v>
      </c>
    </row>
    <row r="125" spans="1:7" ht="15">
      <c r="A125" s="88" t="s">
        <v>1520</v>
      </c>
      <c r="B125" s="81">
        <v>2</v>
      </c>
      <c r="C125" s="108">
        <v>0.00303983308492459</v>
      </c>
      <c r="D125" s="81" t="s">
        <v>1527</v>
      </c>
      <c r="E125" s="81" t="b">
        <v>0</v>
      </c>
      <c r="F125" s="81" t="b">
        <v>0</v>
      </c>
      <c r="G125" s="81" t="b">
        <v>0</v>
      </c>
    </row>
    <row r="126" spans="1:7" ht="15">
      <c r="A126" s="88" t="s">
        <v>1519</v>
      </c>
      <c r="B126" s="81">
        <v>2</v>
      </c>
      <c r="C126" s="108">
        <v>0.00303983308492459</v>
      </c>
      <c r="D126" s="81" t="s">
        <v>1527</v>
      </c>
      <c r="E126" s="81" t="b">
        <v>0</v>
      </c>
      <c r="F126" s="81" t="b">
        <v>0</v>
      </c>
      <c r="G126" s="81" t="b">
        <v>0</v>
      </c>
    </row>
    <row r="127" spans="1:7" ht="15">
      <c r="A127" s="88" t="s">
        <v>1471</v>
      </c>
      <c r="B127" s="81">
        <v>2</v>
      </c>
      <c r="C127" s="108">
        <v>0.00303983308492459</v>
      </c>
      <c r="D127" s="81" t="s">
        <v>1527</v>
      </c>
      <c r="E127" s="81" t="b">
        <v>0</v>
      </c>
      <c r="F127" s="81" t="b">
        <v>0</v>
      </c>
      <c r="G127" s="81" t="b">
        <v>0</v>
      </c>
    </row>
    <row r="128" spans="1:7" ht="15">
      <c r="A128" s="88" t="s">
        <v>1509</v>
      </c>
      <c r="B128" s="81">
        <v>2</v>
      </c>
      <c r="C128" s="108">
        <v>0.00303983308492459</v>
      </c>
      <c r="D128" s="81" t="s">
        <v>1527</v>
      </c>
      <c r="E128" s="81" t="b">
        <v>0</v>
      </c>
      <c r="F128" s="81" t="b">
        <v>0</v>
      </c>
      <c r="G128" s="81" t="b">
        <v>0</v>
      </c>
    </row>
    <row r="129" spans="1:7" ht="15">
      <c r="A129" s="88" t="s">
        <v>1469</v>
      </c>
      <c r="B129" s="81">
        <v>2</v>
      </c>
      <c r="C129" s="108">
        <v>0.003534135212451652</v>
      </c>
      <c r="D129" s="81" t="s">
        <v>1527</v>
      </c>
      <c r="E129" s="81" t="b">
        <v>0</v>
      </c>
      <c r="F129" s="81" t="b">
        <v>0</v>
      </c>
      <c r="G129" s="81" t="b">
        <v>0</v>
      </c>
    </row>
    <row r="130" spans="1:7" ht="15">
      <c r="A130" s="88" t="s">
        <v>1482</v>
      </c>
      <c r="B130" s="81">
        <v>2</v>
      </c>
      <c r="C130" s="108">
        <v>0.00303983308492459</v>
      </c>
      <c r="D130" s="81" t="s">
        <v>1527</v>
      </c>
      <c r="E130" s="81" t="b">
        <v>0</v>
      </c>
      <c r="F130" s="81" t="b">
        <v>0</v>
      </c>
      <c r="G130" s="81" t="b">
        <v>0</v>
      </c>
    </row>
    <row r="131" spans="1:7" ht="15">
      <c r="A131" s="88" t="s">
        <v>1487</v>
      </c>
      <c r="B131" s="81">
        <v>2</v>
      </c>
      <c r="C131" s="108">
        <v>0.00303983308492459</v>
      </c>
      <c r="D131" s="81" t="s">
        <v>1527</v>
      </c>
      <c r="E131" s="81" t="b">
        <v>0</v>
      </c>
      <c r="F131" s="81" t="b">
        <v>0</v>
      </c>
      <c r="G131" s="81" t="b">
        <v>0</v>
      </c>
    </row>
    <row r="132" spans="1:7" ht="15">
      <c r="A132" s="88" t="s">
        <v>1489</v>
      </c>
      <c r="B132" s="81">
        <v>2</v>
      </c>
      <c r="C132" s="108">
        <v>0.00303983308492459</v>
      </c>
      <c r="D132" s="81" t="s">
        <v>1527</v>
      </c>
      <c r="E132" s="81" t="b">
        <v>0</v>
      </c>
      <c r="F132" s="81" t="b">
        <v>0</v>
      </c>
      <c r="G132" s="81" t="b">
        <v>0</v>
      </c>
    </row>
    <row r="133" spans="1:7" ht="15">
      <c r="A133" s="88" t="s">
        <v>1486</v>
      </c>
      <c r="B133" s="81">
        <v>2</v>
      </c>
      <c r="C133" s="108">
        <v>0.00303983308492459</v>
      </c>
      <c r="D133" s="81" t="s">
        <v>1527</v>
      </c>
      <c r="E133" s="81" t="b">
        <v>0</v>
      </c>
      <c r="F133" s="81" t="b">
        <v>0</v>
      </c>
      <c r="G133" s="81" t="b">
        <v>0</v>
      </c>
    </row>
    <row r="134" spans="1:7" ht="15">
      <c r="A134" s="88" t="s">
        <v>1452</v>
      </c>
      <c r="B134" s="81">
        <v>2</v>
      </c>
      <c r="C134" s="108">
        <v>0.003534135212451652</v>
      </c>
      <c r="D134" s="81" t="s">
        <v>1527</v>
      </c>
      <c r="E134" s="81" t="b">
        <v>0</v>
      </c>
      <c r="F134" s="81" t="b">
        <v>0</v>
      </c>
      <c r="G134" s="81" t="b">
        <v>0</v>
      </c>
    </row>
    <row r="135" spans="1:7" ht="15">
      <c r="A135" s="88" t="s">
        <v>1456</v>
      </c>
      <c r="B135" s="81">
        <v>2</v>
      </c>
      <c r="C135" s="108">
        <v>0.003534135212451652</v>
      </c>
      <c r="D135" s="81" t="s">
        <v>1527</v>
      </c>
      <c r="E135" s="81" t="b">
        <v>0</v>
      </c>
      <c r="F135" s="81" t="b">
        <v>0</v>
      </c>
      <c r="G135" s="81" t="b">
        <v>0</v>
      </c>
    </row>
    <row r="136" spans="1:7" ht="15">
      <c r="A136" s="88" t="s">
        <v>1461</v>
      </c>
      <c r="B136" s="81">
        <v>2</v>
      </c>
      <c r="C136" s="108">
        <v>0.00303983308492459</v>
      </c>
      <c r="D136" s="81" t="s">
        <v>1527</v>
      </c>
      <c r="E136" s="81" t="b">
        <v>0</v>
      </c>
      <c r="F136" s="81" t="b">
        <v>0</v>
      </c>
      <c r="G136" s="81" t="b">
        <v>0</v>
      </c>
    </row>
    <row r="137" spans="1:7" ht="15">
      <c r="A137" s="88" t="s">
        <v>1512</v>
      </c>
      <c r="B137" s="81">
        <v>2</v>
      </c>
      <c r="C137" s="108">
        <v>0.00303983308492459</v>
      </c>
      <c r="D137" s="81" t="s">
        <v>1527</v>
      </c>
      <c r="E137" s="81" t="b">
        <v>0</v>
      </c>
      <c r="F137" s="81" t="b">
        <v>0</v>
      </c>
      <c r="G137" s="81" t="b">
        <v>0</v>
      </c>
    </row>
    <row r="138" spans="1:7" ht="15">
      <c r="A138" s="88" t="s">
        <v>1494</v>
      </c>
      <c r="B138" s="81">
        <v>2</v>
      </c>
      <c r="C138" s="108">
        <v>0.00303983308492459</v>
      </c>
      <c r="D138" s="81" t="s">
        <v>1527</v>
      </c>
      <c r="E138" s="81" t="b">
        <v>0</v>
      </c>
      <c r="F138" s="81" t="b">
        <v>0</v>
      </c>
      <c r="G138" s="81" t="b">
        <v>0</v>
      </c>
    </row>
    <row r="139" spans="1:7" ht="15">
      <c r="A139" s="88" t="s">
        <v>1460</v>
      </c>
      <c r="B139" s="81">
        <v>2</v>
      </c>
      <c r="C139" s="108">
        <v>0.00303983308492459</v>
      </c>
      <c r="D139" s="81" t="s">
        <v>1527</v>
      </c>
      <c r="E139" s="81" t="b">
        <v>0</v>
      </c>
      <c r="F139" s="81" t="b">
        <v>0</v>
      </c>
      <c r="G139" s="81" t="b">
        <v>0</v>
      </c>
    </row>
    <row r="140" spans="1:7" ht="15">
      <c r="A140" s="88" t="s">
        <v>1503</v>
      </c>
      <c r="B140" s="81">
        <v>2</v>
      </c>
      <c r="C140" s="108">
        <v>0.00303983308492459</v>
      </c>
      <c r="D140" s="81" t="s">
        <v>1527</v>
      </c>
      <c r="E140" s="81" t="b">
        <v>0</v>
      </c>
      <c r="F140" s="81" t="b">
        <v>0</v>
      </c>
      <c r="G140" s="81" t="b">
        <v>0</v>
      </c>
    </row>
    <row r="141" spans="1:7" ht="15">
      <c r="A141" s="88" t="s">
        <v>1455</v>
      </c>
      <c r="B141" s="81">
        <v>2</v>
      </c>
      <c r="C141" s="108">
        <v>0.00303983308492459</v>
      </c>
      <c r="D141" s="81" t="s">
        <v>1527</v>
      </c>
      <c r="E141" s="81" t="b">
        <v>0</v>
      </c>
      <c r="F141" s="81" t="b">
        <v>0</v>
      </c>
      <c r="G141" s="81" t="b">
        <v>0</v>
      </c>
    </row>
    <row r="142" spans="1:7" ht="15">
      <c r="A142" s="88" t="s">
        <v>1449</v>
      </c>
      <c r="B142" s="81">
        <v>2</v>
      </c>
      <c r="C142" s="108">
        <v>0.00303983308492459</v>
      </c>
      <c r="D142" s="81" t="s">
        <v>1527</v>
      </c>
      <c r="E142" s="81" t="b">
        <v>0</v>
      </c>
      <c r="F142" s="81" t="b">
        <v>0</v>
      </c>
      <c r="G142" s="81" t="b">
        <v>0</v>
      </c>
    </row>
    <row r="143" spans="1:7" ht="15">
      <c r="A143" s="88" t="s">
        <v>1481</v>
      </c>
      <c r="B143" s="81">
        <v>2</v>
      </c>
      <c r="C143" s="108">
        <v>0.00303983308492459</v>
      </c>
      <c r="D143" s="81" t="s">
        <v>1527</v>
      </c>
      <c r="E143" s="81" t="b">
        <v>0</v>
      </c>
      <c r="F143" s="81" t="b">
        <v>0</v>
      </c>
      <c r="G143" s="81" t="b">
        <v>0</v>
      </c>
    </row>
    <row r="144" spans="1:7" ht="15">
      <c r="A144" s="88" t="s">
        <v>1491</v>
      </c>
      <c r="B144" s="81">
        <v>2</v>
      </c>
      <c r="C144" s="108">
        <v>0.003534135212451652</v>
      </c>
      <c r="D144" s="81" t="s">
        <v>1527</v>
      </c>
      <c r="E144" s="81" t="b">
        <v>0</v>
      </c>
      <c r="F144" s="81" t="b">
        <v>0</v>
      </c>
      <c r="G144" s="81" t="b">
        <v>0</v>
      </c>
    </row>
    <row r="145" spans="1:7" ht="15">
      <c r="A145" s="88" t="s">
        <v>1505</v>
      </c>
      <c r="B145" s="81">
        <v>2</v>
      </c>
      <c r="C145" s="108">
        <v>0.00303983308492459</v>
      </c>
      <c r="D145" s="81" t="s">
        <v>1527</v>
      </c>
      <c r="E145" s="81" t="b">
        <v>0</v>
      </c>
      <c r="F145" s="81" t="b">
        <v>0</v>
      </c>
      <c r="G145" s="81" t="b">
        <v>0</v>
      </c>
    </row>
    <row r="146" spans="1:7" ht="15">
      <c r="A146" s="88" t="s">
        <v>1448</v>
      </c>
      <c r="B146" s="81">
        <v>2</v>
      </c>
      <c r="C146" s="108">
        <v>0.00303983308492459</v>
      </c>
      <c r="D146" s="81" t="s">
        <v>1527</v>
      </c>
      <c r="E146" s="81" t="b">
        <v>0</v>
      </c>
      <c r="F146" s="81" t="b">
        <v>0</v>
      </c>
      <c r="G146" s="81" t="b">
        <v>0</v>
      </c>
    </row>
    <row r="147" spans="1:7" ht="15">
      <c r="A147" s="88" t="s">
        <v>1496</v>
      </c>
      <c r="B147" s="81">
        <v>2</v>
      </c>
      <c r="C147" s="108">
        <v>0.00303983308492459</v>
      </c>
      <c r="D147" s="81" t="s">
        <v>1527</v>
      </c>
      <c r="E147" s="81" t="b">
        <v>0</v>
      </c>
      <c r="F147" s="81" t="b">
        <v>0</v>
      </c>
      <c r="G147" s="81" t="b">
        <v>0</v>
      </c>
    </row>
    <row r="148" spans="1:7" ht="15">
      <c r="A148" s="88" t="s">
        <v>1477</v>
      </c>
      <c r="B148" s="81">
        <v>2</v>
      </c>
      <c r="C148" s="108">
        <v>0.003534135212451652</v>
      </c>
      <c r="D148" s="81" t="s">
        <v>1527</v>
      </c>
      <c r="E148" s="81" t="b">
        <v>0</v>
      </c>
      <c r="F148" s="81" t="b">
        <v>0</v>
      </c>
      <c r="G148" s="81" t="b">
        <v>0</v>
      </c>
    </row>
    <row r="149" spans="1:7" ht="15">
      <c r="A149" s="88" t="s">
        <v>1458</v>
      </c>
      <c r="B149" s="81">
        <v>2</v>
      </c>
      <c r="C149" s="108">
        <v>0.003534135212451652</v>
      </c>
      <c r="D149" s="81" t="s">
        <v>1527</v>
      </c>
      <c r="E149" s="81" t="b">
        <v>0</v>
      </c>
      <c r="F149" s="81" t="b">
        <v>0</v>
      </c>
      <c r="G149" s="81" t="b">
        <v>0</v>
      </c>
    </row>
    <row r="150" spans="1:7" ht="15">
      <c r="A150" s="88" t="s">
        <v>1457</v>
      </c>
      <c r="B150" s="81">
        <v>2</v>
      </c>
      <c r="C150" s="108">
        <v>0.003534135212451652</v>
      </c>
      <c r="D150" s="81" t="s">
        <v>1527</v>
      </c>
      <c r="E150" s="81" t="b">
        <v>0</v>
      </c>
      <c r="F150" s="81" t="b">
        <v>0</v>
      </c>
      <c r="G150" s="81" t="b">
        <v>0</v>
      </c>
    </row>
    <row r="151" spans="1:7" ht="15">
      <c r="A151" s="88" t="s">
        <v>1504</v>
      </c>
      <c r="B151" s="81">
        <v>2</v>
      </c>
      <c r="C151" s="108">
        <v>0.003534135212451652</v>
      </c>
      <c r="D151" s="81" t="s">
        <v>1527</v>
      </c>
      <c r="E151" s="81" t="b">
        <v>0</v>
      </c>
      <c r="F151" s="81" t="b">
        <v>0</v>
      </c>
      <c r="G151" s="81" t="b">
        <v>0</v>
      </c>
    </row>
    <row r="152" spans="1:7" ht="15">
      <c r="A152" s="88" t="s">
        <v>1484</v>
      </c>
      <c r="B152" s="81">
        <v>2</v>
      </c>
      <c r="C152" s="108">
        <v>0.00303983308492459</v>
      </c>
      <c r="D152" s="81" t="s">
        <v>1527</v>
      </c>
      <c r="E152" s="81" t="b">
        <v>0</v>
      </c>
      <c r="F152" s="81" t="b">
        <v>0</v>
      </c>
      <c r="G152" s="81" t="b">
        <v>0</v>
      </c>
    </row>
    <row r="153" spans="1:7" ht="15">
      <c r="A153" s="88" t="s">
        <v>1466</v>
      </c>
      <c r="B153" s="81">
        <v>2</v>
      </c>
      <c r="C153" s="108">
        <v>0.00303983308492459</v>
      </c>
      <c r="D153" s="81" t="s">
        <v>1527</v>
      </c>
      <c r="E153" s="81" t="b">
        <v>0</v>
      </c>
      <c r="F153" s="81" t="b">
        <v>1</v>
      </c>
      <c r="G153" s="81" t="b">
        <v>0</v>
      </c>
    </row>
    <row r="154" spans="1:7" ht="15">
      <c r="A154" s="88" t="s">
        <v>1510</v>
      </c>
      <c r="B154" s="81">
        <v>2</v>
      </c>
      <c r="C154" s="108">
        <v>0.00303983308492459</v>
      </c>
      <c r="D154" s="81" t="s">
        <v>1527</v>
      </c>
      <c r="E154" s="81" t="b">
        <v>0</v>
      </c>
      <c r="F154" s="81" t="b">
        <v>0</v>
      </c>
      <c r="G154" s="81" t="b">
        <v>0</v>
      </c>
    </row>
    <row r="155" spans="1:7" ht="15">
      <c r="A155" s="88" t="s">
        <v>1463</v>
      </c>
      <c r="B155" s="81">
        <v>2</v>
      </c>
      <c r="C155" s="108">
        <v>0.003534135212451652</v>
      </c>
      <c r="D155" s="81" t="s">
        <v>1527</v>
      </c>
      <c r="E155" s="81" t="b">
        <v>0</v>
      </c>
      <c r="F155" s="81" t="b">
        <v>0</v>
      </c>
      <c r="G155" s="81" t="b">
        <v>0</v>
      </c>
    </row>
    <row r="156" spans="1:7" ht="15">
      <c r="A156" s="88" t="s">
        <v>1513</v>
      </c>
      <c r="B156" s="81">
        <v>2</v>
      </c>
      <c r="C156" s="108">
        <v>0.00303983308492459</v>
      </c>
      <c r="D156" s="81" t="s">
        <v>1527</v>
      </c>
      <c r="E156" s="81" t="b">
        <v>0</v>
      </c>
      <c r="F156" s="81" t="b">
        <v>0</v>
      </c>
      <c r="G156" s="81" t="b">
        <v>0</v>
      </c>
    </row>
    <row r="157" spans="1:7" ht="15">
      <c r="A157" s="88" t="s">
        <v>1473</v>
      </c>
      <c r="B157" s="81">
        <v>2</v>
      </c>
      <c r="C157" s="108">
        <v>0.00303983308492459</v>
      </c>
      <c r="D157" s="81" t="s">
        <v>1527</v>
      </c>
      <c r="E157" s="81" t="b">
        <v>0</v>
      </c>
      <c r="F157" s="81" t="b">
        <v>0</v>
      </c>
      <c r="G157" s="81" t="b">
        <v>0</v>
      </c>
    </row>
    <row r="158" spans="1:7" ht="15">
      <c r="A158" s="88" t="s">
        <v>1465</v>
      </c>
      <c r="B158" s="81">
        <v>2</v>
      </c>
      <c r="C158" s="108">
        <v>0.00303983308492459</v>
      </c>
      <c r="D158" s="81" t="s">
        <v>1527</v>
      </c>
      <c r="E158" s="81" t="b">
        <v>0</v>
      </c>
      <c r="F158" s="81" t="b">
        <v>0</v>
      </c>
      <c r="G158" s="81" t="b">
        <v>0</v>
      </c>
    </row>
    <row r="159" spans="1:7" ht="15">
      <c r="A159" s="88" t="s">
        <v>1475</v>
      </c>
      <c r="B159" s="81">
        <v>2</v>
      </c>
      <c r="C159" s="108">
        <v>0.003534135212451652</v>
      </c>
      <c r="D159" s="81" t="s">
        <v>1527</v>
      </c>
      <c r="E159" s="81" t="b">
        <v>0</v>
      </c>
      <c r="F159" s="81" t="b">
        <v>0</v>
      </c>
      <c r="G159" s="81" t="b">
        <v>0</v>
      </c>
    </row>
    <row r="160" spans="1:7" ht="15">
      <c r="A160" s="88" t="s">
        <v>1498</v>
      </c>
      <c r="B160" s="81">
        <v>2</v>
      </c>
      <c r="C160" s="108">
        <v>0.00303983308492459</v>
      </c>
      <c r="D160" s="81" t="s">
        <v>1527</v>
      </c>
      <c r="E160" s="81" t="b">
        <v>0</v>
      </c>
      <c r="F160" s="81" t="b">
        <v>0</v>
      </c>
      <c r="G160" s="81" t="b">
        <v>0</v>
      </c>
    </row>
    <row r="161" spans="1:7" ht="15">
      <c r="A161" s="88" t="s">
        <v>1511</v>
      </c>
      <c r="B161" s="81">
        <v>2</v>
      </c>
      <c r="C161" s="108">
        <v>0.00303983308492459</v>
      </c>
      <c r="D161" s="81" t="s">
        <v>1527</v>
      </c>
      <c r="E161" s="81" t="b">
        <v>1</v>
      </c>
      <c r="F161" s="81" t="b">
        <v>0</v>
      </c>
      <c r="G161" s="81" t="b">
        <v>0</v>
      </c>
    </row>
    <row r="162" spans="1:7" ht="15">
      <c r="A162" s="88" t="s">
        <v>1464</v>
      </c>
      <c r="B162" s="81">
        <v>2</v>
      </c>
      <c r="C162" s="108">
        <v>0.00303983308492459</v>
      </c>
      <c r="D162" s="81" t="s">
        <v>1527</v>
      </c>
      <c r="E162" s="81" t="b">
        <v>1</v>
      </c>
      <c r="F162" s="81" t="b">
        <v>0</v>
      </c>
      <c r="G162" s="81" t="b">
        <v>0</v>
      </c>
    </row>
    <row r="163" spans="1:7" ht="15">
      <c r="A163" s="88" t="s">
        <v>1490</v>
      </c>
      <c r="B163" s="81">
        <v>2</v>
      </c>
      <c r="C163" s="108">
        <v>0.00303983308492459</v>
      </c>
      <c r="D163" s="81" t="s">
        <v>1527</v>
      </c>
      <c r="E163" s="81" t="b">
        <v>0</v>
      </c>
      <c r="F163" s="81" t="b">
        <v>0</v>
      </c>
      <c r="G163" s="81" t="b">
        <v>0</v>
      </c>
    </row>
    <row r="164" spans="1:7" ht="15">
      <c r="A164" s="88" t="s">
        <v>1468</v>
      </c>
      <c r="B164" s="81">
        <v>2</v>
      </c>
      <c r="C164" s="108">
        <v>0.00303983308492459</v>
      </c>
      <c r="D164" s="81" t="s">
        <v>1527</v>
      </c>
      <c r="E164" s="81" t="b">
        <v>0</v>
      </c>
      <c r="F164" s="81" t="b">
        <v>0</v>
      </c>
      <c r="G164" s="81" t="b">
        <v>0</v>
      </c>
    </row>
    <row r="165" spans="1:7" ht="15">
      <c r="A165" s="88" t="s">
        <v>1474</v>
      </c>
      <c r="B165" s="81">
        <v>2</v>
      </c>
      <c r="C165" s="108">
        <v>0.00303983308492459</v>
      </c>
      <c r="D165" s="81" t="s">
        <v>1527</v>
      </c>
      <c r="E165" s="81" t="b">
        <v>0</v>
      </c>
      <c r="F165" s="81" t="b">
        <v>0</v>
      </c>
      <c r="G165" s="81" t="b">
        <v>0</v>
      </c>
    </row>
    <row r="166" spans="1:7" ht="15">
      <c r="A166" s="88" t="s">
        <v>1472</v>
      </c>
      <c r="B166" s="81">
        <v>2</v>
      </c>
      <c r="C166" s="108">
        <v>0.00303983308492459</v>
      </c>
      <c r="D166" s="81" t="s">
        <v>1527</v>
      </c>
      <c r="E166" s="81" t="b">
        <v>0</v>
      </c>
      <c r="F166" s="81" t="b">
        <v>0</v>
      </c>
      <c r="G166" s="81" t="b">
        <v>0</v>
      </c>
    </row>
    <row r="167" spans="1:7" ht="15">
      <c r="A167" s="88" t="s">
        <v>1515</v>
      </c>
      <c r="B167" s="81">
        <v>2</v>
      </c>
      <c r="C167" s="108">
        <v>0.00303983308492459</v>
      </c>
      <c r="D167" s="81" t="s">
        <v>1527</v>
      </c>
      <c r="E167" s="81" t="b">
        <v>1</v>
      </c>
      <c r="F167" s="81" t="b">
        <v>0</v>
      </c>
      <c r="G167" s="81" t="b">
        <v>0</v>
      </c>
    </row>
    <row r="168" spans="1:7" ht="15">
      <c r="A168" s="88" t="s">
        <v>1508</v>
      </c>
      <c r="B168" s="81">
        <v>2</v>
      </c>
      <c r="C168" s="108">
        <v>0.003534135212451652</v>
      </c>
      <c r="D168" s="81" t="s">
        <v>1527</v>
      </c>
      <c r="E168" s="81" t="b">
        <v>0</v>
      </c>
      <c r="F168" s="81" t="b">
        <v>0</v>
      </c>
      <c r="G168" s="81" t="b">
        <v>0</v>
      </c>
    </row>
    <row r="169" spans="1:7" ht="15">
      <c r="A169" s="88" t="s">
        <v>1451</v>
      </c>
      <c r="B169" s="81">
        <v>2</v>
      </c>
      <c r="C169" s="108">
        <v>0.003534135212451652</v>
      </c>
      <c r="D169" s="81" t="s">
        <v>1527</v>
      </c>
      <c r="E169" s="81" t="b">
        <v>0</v>
      </c>
      <c r="F169" s="81" t="b">
        <v>1</v>
      </c>
      <c r="G169" s="81" t="b">
        <v>0</v>
      </c>
    </row>
    <row r="170" spans="1:7" ht="15">
      <c r="A170" s="88" t="s">
        <v>1462</v>
      </c>
      <c r="B170" s="81">
        <v>2</v>
      </c>
      <c r="C170" s="108">
        <v>0.00303983308492459</v>
      </c>
      <c r="D170" s="81" t="s">
        <v>1527</v>
      </c>
      <c r="E170" s="81" t="b">
        <v>0</v>
      </c>
      <c r="F170" s="81" t="b">
        <v>0</v>
      </c>
      <c r="G170" s="81" t="b">
        <v>0</v>
      </c>
    </row>
    <row r="171" spans="1:7" ht="15">
      <c r="A171" s="88" t="s">
        <v>1500</v>
      </c>
      <c r="B171" s="81">
        <v>2</v>
      </c>
      <c r="C171" s="108">
        <v>0.00303983308492459</v>
      </c>
      <c r="D171" s="81" t="s">
        <v>1527</v>
      </c>
      <c r="E171" s="81" t="b">
        <v>0</v>
      </c>
      <c r="F171" s="81" t="b">
        <v>0</v>
      </c>
      <c r="G171" s="81" t="b">
        <v>0</v>
      </c>
    </row>
    <row r="172" spans="1:7" ht="15">
      <c r="A172" s="88" t="s">
        <v>1492</v>
      </c>
      <c r="B172" s="81">
        <v>2</v>
      </c>
      <c r="C172" s="108">
        <v>0.003534135212451652</v>
      </c>
      <c r="D172" s="81" t="s">
        <v>1527</v>
      </c>
      <c r="E172" s="81" t="b">
        <v>0</v>
      </c>
      <c r="F172" s="81" t="b">
        <v>1</v>
      </c>
      <c r="G172" s="81" t="b">
        <v>0</v>
      </c>
    </row>
    <row r="173" spans="1:7" ht="15">
      <c r="A173" s="88" t="s">
        <v>1499</v>
      </c>
      <c r="B173" s="81">
        <v>2</v>
      </c>
      <c r="C173" s="108">
        <v>0.00303983308492459</v>
      </c>
      <c r="D173" s="81" t="s">
        <v>1527</v>
      </c>
      <c r="E173" s="81" t="b">
        <v>0</v>
      </c>
      <c r="F173" s="81" t="b">
        <v>0</v>
      </c>
      <c r="G173" s="81" t="b">
        <v>0</v>
      </c>
    </row>
    <row r="174" spans="1:7" ht="15">
      <c r="A174" s="88" t="s">
        <v>1517</v>
      </c>
      <c r="B174" s="81">
        <v>2</v>
      </c>
      <c r="C174" s="108">
        <v>0.00303983308492459</v>
      </c>
      <c r="D174" s="81" t="s">
        <v>1527</v>
      </c>
      <c r="E174" s="81" t="b">
        <v>0</v>
      </c>
      <c r="F174" s="81" t="b">
        <v>0</v>
      </c>
      <c r="G174" s="81" t="b">
        <v>0</v>
      </c>
    </row>
    <row r="175" spans="1:7" ht="15">
      <c r="A175" s="88" t="s">
        <v>1480</v>
      </c>
      <c r="B175" s="81">
        <v>2</v>
      </c>
      <c r="C175" s="108">
        <v>0.003534135212451652</v>
      </c>
      <c r="D175" s="81" t="s">
        <v>1527</v>
      </c>
      <c r="E175" s="81" t="b">
        <v>0</v>
      </c>
      <c r="F175" s="81" t="b">
        <v>0</v>
      </c>
      <c r="G175" s="81" t="b">
        <v>0</v>
      </c>
    </row>
    <row r="176" spans="1:7" ht="15">
      <c r="A176" s="88" t="s">
        <v>1507</v>
      </c>
      <c r="B176" s="81">
        <v>2</v>
      </c>
      <c r="C176" s="108">
        <v>0.00303983308492459</v>
      </c>
      <c r="D176" s="81" t="s">
        <v>1527</v>
      </c>
      <c r="E176" s="81" t="b">
        <v>0</v>
      </c>
      <c r="F176" s="81" t="b">
        <v>0</v>
      </c>
      <c r="G176" s="81" t="b">
        <v>0</v>
      </c>
    </row>
    <row r="177" spans="1:7" ht="15">
      <c r="A177" s="88" t="s">
        <v>1495</v>
      </c>
      <c r="B177" s="81">
        <v>2</v>
      </c>
      <c r="C177" s="108">
        <v>0.003534135212451652</v>
      </c>
      <c r="D177" s="81" t="s">
        <v>1527</v>
      </c>
      <c r="E177" s="81" t="b">
        <v>0</v>
      </c>
      <c r="F177" s="81" t="b">
        <v>0</v>
      </c>
      <c r="G177" s="81" t="b">
        <v>0</v>
      </c>
    </row>
    <row r="178" spans="1:7" ht="15">
      <c r="A178" s="88" t="s">
        <v>1488</v>
      </c>
      <c r="B178" s="81">
        <v>2</v>
      </c>
      <c r="C178" s="108">
        <v>0.00303983308492459</v>
      </c>
      <c r="D178" s="81" t="s">
        <v>1527</v>
      </c>
      <c r="E178" s="81" t="b">
        <v>0</v>
      </c>
      <c r="F178" s="81" t="b">
        <v>0</v>
      </c>
      <c r="G178" s="81" t="b">
        <v>0</v>
      </c>
    </row>
    <row r="179" spans="1:7" ht="15">
      <c r="A179" s="88" t="s">
        <v>1521</v>
      </c>
      <c r="B179" s="81">
        <v>2</v>
      </c>
      <c r="C179" s="108">
        <v>0.003534135212451652</v>
      </c>
      <c r="D179" s="81" t="s">
        <v>1527</v>
      </c>
      <c r="E179" s="81" t="b">
        <v>0</v>
      </c>
      <c r="F179" s="81" t="b">
        <v>0</v>
      </c>
      <c r="G179" s="81" t="b">
        <v>0</v>
      </c>
    </row>
    <row r="180" spans="1:7" ht="15">
      <c r="A180" s="88" t="s">
        <v>1450</v>
      </c>
      <c r="B180" s="81">
        <v>2</v>
      </c>
      <c r="C180" s="108">
        <v>0.00303983308492459</v>
      </c>
      <c r="D180" s="81" t="s">
        <v>1527</v>
      </c>
      <c r="E180" s="81" t="b">
        <v>0</v>
      </c>
      <c r="F180" s="81" t="b">
        <v>0</v>
      </c>
      <c r="G180" s="81" t="b">
        <v>0</v>
      </c>
    </row>
    <row r="181" spans="1:7" ht="15">
      <c r="A181" s="88" t="s">
        <v>1516</v>
      </c>
      <c r="B181" s="81">
        <v>2</v>
      </c>
      <c r="C181" s="108">
        <v>0.003534135212451652</v>
      </c>
      <c r="D181" s="81" t="s">
        <v>1527</v>
      </c>
      <c r="E181" s="81" t="b">
        <v>0</v>
      </c>
      <c r="F181" s="81" t="b">
        <v>0</v>
      </c>
      <c r="G181" s="81" t="b">
        <v>0</v>
      </c>
    </row>
    <row r="182" spans="1:7" ht="15">
      <c r="A182" s="88" t="s">
        <v>1454</v>
      </c>
      <c r="B182" s="81">
        <v>2</v>
      </c>
      <c r="C182" s="108">
        <v>0.00303983308492459</v>
      </c>
      <c r="D182" s="81" t="s">
        <v>1527</v>
      </c>
      <c r="E182" s="81" t="b">
        <v>0</v>
      </c>
      <c r="F182" s="81" t="b">
        <v>0</v>
      </c>
      <c r="G182" s="81" t="b">
        <v>0</v>
      </c>
    </row>
    <row r="183" spans="1:7" ht="15">
      <c r="A183" s="88" t="s">
        <v>1470</v>
      </c>
      <c r="B183" s="81">
        <v>2</v>
      </c>
      <c r="C183" s="108">
        <v>0.00303983308492459</v>
      </c>
      <c r="D183" s="81" t="s">
        <v>1527</v>
      </c>
      <c r="E183" s="81" t="b">
        <v>0</v>
      </c>
      <c r="F183" s="81" t="b">
        <v>0</v>
      </c>
      <c r="G183" s="81" t="b">
        <v>0</v>
      </c>
    </row>
    <row r="184" spans="1:7" ht="15">
      <c r="A184" s="88" t="s">
        <v>1125</v>
      </c>
      <c r="B184" s="81">
        <v>22</v>
      </c>
      <c r="C184" s="108">
        <v>0.01605282737773664</v>
      </c>
      <c r="D184" s="81" t="s">
        <v>1319</v>
      </c>
      <c r="E184" s="81" t="b">
        <v>0</v>
      </c>
      <c r="F184" s="81" t="b">
        <v>0</v>
      </c>
      <c r="G184" s="81" t="b">
        <v>0</v>
      </c>
    </row>
    <row r="185" spans="1:7" ht="15">
      <c r="A185" s="88" t="s">
        <v>1168</v>
      </c>
      <c r="B185" s="81">
        <v>21</v>
      </c>
      <c r="C185" s="108">
        <v>0.018063769895907793</v>
      </c>
      <c r="D185" s="81" t="s">
        <v>1319</v>
      </c>
      <c r="E185" s="81" t="b">
        <v>0</v>
      </c>
      <c r="F185" s="81" t="b">
        <v>0</v>
      </c>
      <c r="G185" s="81" t="b">
        <v>0</v>
      </c>
    </row>
    <row r="186" spans="1:7" ht="15">
      <c r="A186" s="88" t="s">
        <v>1162</v>
      </c>
      <c r="B186" s="81">
        <v>16</v>
      </c>
      <c r="C186" s="108">
        <v>0.015335289750595749</v>
      </c>
      <c r="D186" s="81" t="s">
        <v>1319</v>
      </c>
      <c r="E186" s="81" t="b">
        <v>1</v>
      </c>
      <c r="F186" s="81" t="b">
        <v>0</v>
      </c>
      <c r="G186" s="81" t="b">
        <v>0</v>
      </c>
    </row>
    <row r="187" spans="1:7" ht="15">
      <c r="A187" s="88" t="s">
        <v>1356</v>
      </c>
      <c r="B187" s="81">
        <v>16</v>
      </c>
      <c r="C187" s="108">
        <v>0.01806028808492187</v>
      </c>
      <c r="D187" s="81" t="s">
        <v>1319</v>
      </c>
      <c r="E187" s="81" t="b">
        <v>0</v>
      </c>
      <c r="F187" s="81" t="b">
        <v>0</v>
      </c>
      <c r="G187" s="81" t="b">
        <v>0</v>
      </c>
    </row>
    <row r="188" spans="1:7" ht="15">
      <c r="A188" s="88" t="s">
        <v>1354</v>
      </c>
      <c r="B188" s="81">
        <v>16</v>
      </c>
      <c r="C188" s="108">
        <v>0.015335289750595749</v>
      </c>
      <c r="D188" s="81" t="s">
        <v>1319</v>
      </c>
      <c r="E188" s="81" t="b">
        <v>0</v>
      </c>
      <c r="F188" s="81" t="b">
        <v>0</v>
      </c>
      <c r="G188" s="81" t="b">
        <v>0</v>
      </c>
    </row>
    <row r="189" spans="1:7" ht="15">
      <c r="A189" s="88" t="s">
        <v>1355</v>
      </c>
      <c r="B189" s="81">
        <v>14</v>
      </c>
      <c r="C189" s="108">
        <v>0.01341837853177128</v>
      </c>
      <c r="D189" s="81" t="s">
        <v>1319</v>
      </c>
      <c r="E189" s="81" t="b">
        <v>1</v>
      </c>
      <c r="F189" s="81" t="b">
        <v>0</v>
      </c>
      <c r="G189" s="81" t="b">
        <v>0</v>
      </c>
    </row>
    <row r="190" spans="1:7" ht="15">
      <c r="A190" s="88" t="s">
        <v>1358</v>
      </c>
      <c r="B190" s="81">
        <v>13</v>
      </c>
      <c r="C190" s="108">
        <v>0.014046822172662274</v>
      </c>
      <c r="D190" s="81" t="s">
        <v>1319</v>
      </c>
      <c r="E190" s="81" t="b">
        <v>1</v>
      </c>
      <c r="F190" s="81" t="b">
        <v>0</v>
      </c>
      <c r="G190" s="81" t="b">
        <v>0</v>
      </c>
    </row>
    <row r="191" spans="1:7" ht="15">
      <c r="A191" s="88" t="s">
        <v>1357</v>
      </c>
      <c r="B191" s="81">
        <v>13</v>
      </c>
      <c r="C191" s="108">
        <v>0.014046822172662274</v>
      </c>
      <c r="D191" s="81" t="s">
        <v>1319</v>
      </c>
      <c r="E191" s="81" t="b">
        <v>0</v>
      </c>
      <c r="F191" s="81" t="b">
        <v>0</v>
      </c>
      <c r="G191" s="81" t="b">
        <v>0</v>
      </c>
    </row>
    <row r="192" spans="1:7" ht="15">
      <c r="A192" s="88" t="s">
        <v>1360</v>
      </c>
      <c r="B192" s="81">
        <v>10</v>
      </c>
      <c r="C192" s="108">
        <v>0.013093064202094154</v>
      </c>
      <c r="D192" s="81" t="s">
        <v>1319</v>
      </c>
      <c r="E192" s="81" t="b">
        <v>1</v>
      </c>
      <c r="F192" s="81" t="b">
        <v>0</v>
      </c>
      <c r="G192" s="81" t="b">
        <v>0</v>
      </c>
    </row>
    <row r="193" spans="1:7" ht="15">
      <c r="A193" s="88" t="s">
        <v>1363</v>
      </c>
      <c r="B193" s="81">
        <v>9</v>
      </c>
      <c r="C193" s="108">
        <v>0.01063888572497843</v>
      </c>
      <c r="D193" s="81" t="s">
        <v>1319</v>
      </c>
      <c r="E193" s="81" t="b">
        <v>0</v>
      </c>
      <c r="F193" s="81" t="b">
        <v>0</v>
      </c>
      <c r="G193" s="81" t="b">
        <v>0</v>
      </c>
    </row>
    <row r="194" spans="1:7" ht="15">
      <c r="A194" s="88" t="s">
        <v>1359</v>
      </c>
      <c r="B194" s="81">
        <v>9</v>
      </c>
      <c r="C194" s="108">
        <v>0.01063888572497843</v>
      </c>
      <c r="D194" s="81" t="s">
        <v>1319</v>
      </c>
      <c r="E194" s="81" t="b">
        <v>1</v>
      </c>
      <c r="F194" s="81" t="b">
        <v>0</v>
      </c>
      <c r="G194" s="81" t="b">
        <v>0</v>
      </c>
    </row>
    <row r="195" spans="1:7" ht="15">
      <c r="A195" s="88" t="s">
        <v>1367</v>
      </c>
      <c r="B195" s="81">
        <v>8</v>
      </c>
      <c r="C195" s="108">
        <v>0.010474451361675323</v>
      </c>
      <c r="D195" s="81" t="s">
        <v>1319</v>
      </c>
      <c r="E195" s="81" t="b">
        <v>0</v>
      </c>
      <c r="F195" s="81" t="b">
        <v>0</v>
      </c>
      <c r="G195" s="81" t="b">
        <v>0</v>
      </c>
    </row>
    <row r="196" spans="1:7" ht="15">
      <c r="A196" s="88" t="s">
        <v>1369</v>
      </c>
      <c r="B196" s="81">
        <v>7</v>
      </c>
      <c r="C196" s="108">
        <v>0.009711330870853192</v>
      </c>
      <c r="D196" s="81" t="s">
        <v>1319</v>
      </c>
      <c r="E196" s="81" t="b">
        <v>0</v>
      </c>
      <c r="F196" s="81" t="b">
        <v>0</v>
      </c>
      <c r="G196" s="81" t="b">
        <v>0</v>
      </c>
    </row>
    <row r="197" spans="1:7" ht="15">
      <c r="A197" s="88" t="s">
        <v>1361</v>
      </c>
      <c r="B197" s="81">
        <v>7</v>
      </c>
      <c r="C197" s="108">
        <v>0.009711330870853192</v>
      </c>
      <c r="D197" s="81" t="s">
        <v>1319</v>
      </c>
      <c r="E197" s="81" t="b">
        <v>0</v>
      </c>
      <c r="F197" s="81" t="b">
        <v>0</v>
      </c>
      <c r="G197" s="81" t="b">
        <v>0</v>
      </c>
    </row>
    <row r="198" spans="1:7" ht="15">
      <c r="A198" s="88" t="s">
        <v>1370</v>
      </c>
      <c r="B198" s="81">
        <v>7</v>
      </c>
      <c r="C198" s="108">
        <v>0.009165144941465907</v>
      </c>
      <c r="D198" s="81" t="s">
        <v>1319</v>
      </c>
      <c r="E198" s="81" t="b">
        <v>0</v>
      </c>
      <c r="F198" s="81" t="b">
        <v>0</v>
      </c>
      <c r="G198" s="81" t="b">
        <v>0</v>
      </c>
    </row>
    <row r="199" spans="1:7" ht="15">
      <c r="A199" s="88" t="s">
        <v>1368</v>
      </c>
      <c r="B199" s="81">
        <v>6</v>
      </c>
      <c r="C199" s="108">
        <v>0.008877712896628785</v>
      </c>
      <c r="D199" s="81" t="s">
        <v>1319</v>
      </c>
      <c r="E199" s="81" t="b">
        <v>0</v>
      </c>
      <c r="F199" s="81" t="b">
        <v>0</v>
      </c>
      <c r="G199" s="81" t="b">
        <v>0</v>
      </c>
    </row>
    <row r="200" spans="1:7" ht="15">
      <c r="A200" s="88" t="s">
        <v>1371</v>
      </c>
      <c r="B200" s="81">
        <v>6</v>
      </c>
      <c r="C200" s="108">
        <v>0.008877712896628785</v>
      </c>
      <c r="D200" s="81" t="s">
        <v>1319</v>
      </c>
      <c r="E200" s="81" t="b">
        <v>1</v>
      </c>
      <c r="F200" s="81" t="b">
        <v>0</v>
      </c>
      <c r="G200" s="81" t="b">
        <v>0</v>
      </c>
    </row>
    <row r="201" spans="1:7" ht="15">
      <c r="A201" s="88" t="s">
        <v>1362</v>
      </c>
      <c r="B201" s="81">
        <v>6</v>
      </c>
      <c r="C201" s="108">
        <v>0.008877712896628785</v>
      </c>
      <c r="D201" s="81" t="s">
        <v>1319</v>
      </c>
      <c r="E201" s="81" t="b">
        <v>0</v>
      </c>
      <c r="F201" s="81" t="b">
        <v>0</v>
      </c>
      <c r="G201" s="81" t="b">
        <v>0</v>
      </c>
    </row>
    <row r="202" spans="1:7" ht="15">
      <c r="A202" s="88" t="s">
        <v>1127</v>
      </c>
      <c r="B202" s="81">
        <v>6</v>
      </c>
      <c r="C202" s="108">
        <v>0.008323997889302737</v>
      </c>
      <c r="D202" s="81" t="s">
        <v>1319</v>
      </c>
      <c r="E202" s="81" t="b">
        <v>0</v>
      </c>
      <c r="F202" s="81" t="b">
        <v>0</v>
      </c>
      <c r="G202" s="81" t="b">
        <v>0</v>
      </c>
    </row>
    <row r="203" spans="1:7" ht="15">
      <c r="A203" s="88" t="s">
        <v>1187</v>
      </c>
      <c r="B203" s="81">
        <v>6</v>
      </c>
      <c r="C203" s="108">
        <v>0.008323997889302737</v>
      </c>
      <c r="D203" s="81" t="s">
        <v>1319</v>
      </c>
      <c r="E203" s="81" t="b">
        <v>1</v>
      </c>
      <c r="F203" s="81" t="b">
        <v>0</v>
      </c>
      <c r="G203" s="81" t="b">
        <v>0</v>
      </c>
    </row>
    <row r="204" spans="1:7" ht="15">
      <c r="A204" s="88" t="s">
        <v>1365</v>
      </c>
      <c r="B204" s="81">
        <v>6</v>
      </c>
      <c r="C204" s="108">
        <v>0.010429102754085822</v>
      </c>
      <c r="D204" s="81" t="s">
        <v>1319</v>
      </c>
      <c r="E204" s="81" t="b">
        <v>0</v>
      </c>
      <c r="F204" s="81" t="b">
        <v>0</v>
      </c>
      <c r="G204" s="81" t="b">
        <v>0</v>
      </c>
    </row>
    <row r="205" spans="1:7" ht="15">
      <c r="A205" s="88" t="s">
        <v>1373</v>
      </c>
      <c r="B205" s="81">
        <v>6</v>
      </c>
      <c r="C205" s="108">
        <v>0.009555405295286522</v>
      </c>
      <c r="D205" s="81" t="s">
        <v>1319</v>
      </c>
      <c r="E205" s="81" t="b">
        <v>0</v>
      </c>
      <c r="F205" s="81" t="b">
        <v>0</v>
      </c>
      <c r="G205" s="81" t="b">
        <v>0</v>
      </c>
    </row>
    <row r="206" spans="1:7" ht="15">
      <c r="A206" s="88" t="s">
        <v>1380</v>
      </c>
      <c r="B206" s="81">
        <v>5</v>
      </c>
      <c r="C206" s="108">
        <v>0.0073980940805239885</v>
      </c>
      <c r="D206" s="81" t="s">
        <v>1319</v>
      </c>
      <c r="E206" s="81" t="b">
        <v>0</v>
      </c>
      <c r="F206" s="81" t="b">
        <v>0</v>
      </c>
      <c r="G206" s="81" t="b">
        <v>0</v>
      </c>
    </row>
    <row r="207" spans="1:7" ht="15">
      <c r="A207" s="88" t="s">
        <v>1376</v>
      </c>
      <c r="B207" s="81">
        <v>5</v>
      </c>
      <c r="C207" s="108">
        <v>0.008690918961738186</v>
      </c>
      <c r="D207" s="81" t="s">
        <v>1319</v>
      </c>
      <c r="E207" s="81" t="b">
        <v>0</v>
      </c>
      <c r="F207" s="81" t="b">
        <v>0</v>
      </c>
      <c r="G207" s="81" t="b">
        <v>0</v>
      </c>
    </row>
    <row r="208" spans="1:7" ht="15">
      <c r="A208" s="88" t="s">
        <v>1378</v>
      </c>
      <c r="B208" s="81">
        <v>5</v>
      </c>
      <c r="C208" s="108">
        <v>0.007962837746072102</v>
      </c>
      <c r="D208" s="81" t="s">
        <v>1319</v>
      </c>
      <c r="E208" s="81" t="b">
        <v>0</v>
      </c>
      <c r="F208" s="81" t="b">
        <v>0</v>
      </c>
      <c r="G208" s="81" t="b">
        <v>0</v>
      </c>
    </row>
    <row r="209" spans="1:7" ht="15">
      <c r="A209" s="88" t="s">
        <v>1377</v>
      </c>
      <c r="B209" s="81">
        <v>5</v>
      </c>
      <c r="C209" s="108">
        <v>0.0073980940805239885</v>
      </c>
      <c r="D209" s="81" t="s">
        <v>1319</v>
      </c>
      <c r="E209" s="81" t="b">
        <v>0</v>
      </c>
      <c r="F209" s="81" t="b">
        <v>0</v>
      </c>
      <c r="G209" s="81" t="b">
        <v>0</v>
      </c>
    </row>
    <row r="210" spans="1:7" ht="15">
      <c r="A210" s="88" t="s">
        <v>1366</v>
      </c>
      <c r="B210" s="81">
        <v>5</v>
      </c>
      <c r="C210" s="108">
        <v>0.0073980940805239885</v>
      </c>
      <c r="D210" s="81" t="s">
        <v>1319</v>
      </c>
      <c r="E210" s="81" t="b">
        <v>0</v>
      </c>
      <c r="F210" s="81" t="b">
        <v>0</v>
      </c>
      <c r="G210" s="81" t="b">
        <v>0</v>
      </c>
    </row>
    <row r="211" spans="1:7" ht="15">
      <c r="A211" s="88" t="s">
        <v>1372</v>
      </c>
      <c r="B211" s="81">
        <v>5</v>
      </c>
      <c r="C211" s="108">
        <v>0.0073980940805239885</v>
      </c>
      <c r="D211" s="81" t="s">
        <v>1319</v>
      </c>
      <c r="E211" s="81" t="b">
        <v>0</v>
      </c>
      <c r="F211" s="81" t="b">
        <v>0</v>
      </c>
      <c r="G211" s="81" t="b">
        <v>0</v>
      </c>
    </row>
    <row r="212" spans="1:7" ht="15">
      <c r="A212" s="88" t="s">
        <v>1381</v>
      </c>
      <c r="B212" s="81">
        <v>5</v>
      </c>
      <c r="C212" s="108">
        <v>0.007962837746072102</v>
      </c>
      <c r="D212" s="81" t="s">
        <v>1319</v>
      </c>
      <c r="E212" s="81" t="b">
        <v>1</v>
      </c>
      <c r="F212" s="81" t="b">
        <v>0</v>
      </c>
      <c r="G212" s="81" t="b">
        <v>0</v>
      </c>
    </row>
    <row r="213" spans="1:7" ht="15">
      <c r="A213" s="88" t="s">
        <v>1375</v>
      </c>
      <c r="B213" s="81">
        <v>5</v>
      </c>
      <c r="C213" s="108">
        <v>0.008690918961738186</v>
      </c>
      <c r="D213" s="81" t="s">
        <v>1319</v>
      </c>
      <c r="E213" s="81" t="b">
        <v>1</v>
      </c>
      <c r="F213" s="81" t="b">
        <v>0</v>
      </c>
      <c r="G213" s="81" t="b">
        <v>0</v>
      </c>
    </row>
    <row r="214" spans="1:7" ht="15">
      <c r="A214" s="88" t="s">
        <v>1379</v>
      </c>
      <c r="B214" s="81">
        <v>5</v>
      </c>
      <c r="C214" s="108">
        <v>0.008690918961738186</v>
      </c>
      <c r="D214" s="81" t="s">
        <v>1319</v>
      </c>
      <c r="E214" s="81" t="b">
        <v>0</v>
      </c>
      <c r="F214" s="81" t="b">
        <v>0</v>
      </c>
      <c r="G214" s="81" t="b">
        <v>0</v>
      </c>
    </row>
    <row r="215" spans="1:7" ht="15">
      <c r="A215" s="88" t="s">
        <v>1405</v>
      </c>
      <c r="B215" s="81">
        <v>4</v>
      </c>
      <c r="C215" s="108">
        <v>0.006370270196857682</v>
      </c>
      <c r="D215" s="81" t="s">
        <v>1319</v>
      </c>
      <c r="E215" s="81" t="b">
        <v>0</v>
      </c>
      <c r="F215" s="81" t="b">
        <v>0</v>
      </c>
      <c r="G215" s="81" t="b">
        <v>0</v>
      </c>
    </row>
    <row r="216" spans="1:7" ht="15">
      <c r="A216" s="88" t="s">
        <v>1407</v>
      </c>
      <c r="B216" s="81">
        <v>4</v>
      </c>
      <c r="C216" s="108">
        <v>0.006952735169390548</v>
      </c>
      <c r="D216" s="81" t="s">
        <v>1319</v>
      </c>
      <c r="E216" s="81" t="b">
        <v>0</v>
      </c>
      <c r="F216" s="81" t="b">
        <v>0</v>
      </c>
      <c r="G216" s="81" t="b">
        <v>0</v>
      </c>
    </row>
    <row r="217" spans="1:7" ht="15">
      <c r="A217" s="88" t="s">
        <v>1390</v>
      </c>
      <c r="B217" s="81">
        <v>4</v>
      </c>
      <c r="C217" s="108">
        <v>0.009177076683235127</v>
      </c>
      <c r="D217" s="81" t="s">
        <v>1319</v>
      </c>
      <c r="E217" s="81" t="b">
        <v>0</v>
      </c>
      <c r="F217" s="81" t="b">
        <v>0</v>
      </c>
      <c r="G217" s="81" t="b">
        <v>0</v>
      </c>
    </row>
    <row r="218" spans="1:7" ht="15">
      <c r="A218" s="88" t="s">
        <v>1406</v>
      </c>
      <c r="B218" s="81">
        <v>4</v>
      </c>
      <c r="C218" s="108">
        <v>0.006370270196857682</v>
      </c>
      <c r="D218" s="81" t="s">
        <v>1319</v>
      </c>
      <c r="E218" s="81" t="b">
        <v>0</v>
      </c>
      <c r="F218" s="81" t="b">
        <v>0</v>
      </c>
      <c r="G218" s="81" t="b">
        <v>0</v>
      </c>
    </row>
    <row r="219" spans="1:7" ht="15">
      <c r="A219" s="88" t="s">
        <v>1386</v>
      </c>
      <c r="B219" s="81">
        <v>4</v>
      </c>
      <c r="C219" s="108">
        <v>0.006952735169390548</v>
      </c>
      <c r="D219" s="81" t="s">
        <v>1319</v>
      </c>
      <c r="E219" s="81" t="b">
        <v>0</v>
      </c>
      <c r="F219" s="81" t="b">
        <v>0</v>
      </c>
      <c r="G219" s="81" t="b">
        <v>0</v>
      </c>
    </row>
    <row r="220" spans="1:7" ht="15">
      <c r="A220" s="88" t="s">
        <v>1384</v>
      </c>
      <c r="B220" s="81">
        <v>4</v>
      </c>
      <c r="C220" s="108">
        <v>0.006952735169390548</v>
      </c>
      <c r="D220" s="81" t="s">
        <v>1319</v>
      </c>
      <c r="E220" s="81" t="b">
        <v>0</v>
      </c>
      <c r="F220" s="81" t="b">
        <v>0</v>
      </c>
      <c r="G220" s="81" t="b">
        <v>0</v>
      </c>
    </row>
    <row r="221" spans="1:7" ht="15">
      <c r="A221" s="88" t="s">
        <v>1392</v>
      </c>
      <c r="B221" s="81">
        <v>4</v>
      </c>
      <c r="C221" s="108">
        <v>0.006370270196857682</v>
      </c>
      <c r="D221" s="81" t="s">
        <v>1319</v>
      </c>
      <c r="E221" s="81" t="b">
        <v>0</v>
      </c>
      <c r="F221" s="81" t="b">
        <v>0</v>
      </c>
      <c r="G221" s="81" t="b">
        <v>0</v>
      </c>
    </row>
    <row r="222" spans="1:7" ht="15">
      <c r="A222" s="88" t="s">
        <v>1395</v>
      </c>
      <c r="B222" s="81">
        <v>4</v>
      </c>
      <c r="C222" s="108">
        <v>0.006370270196857682</v>
      </c>
      <c r="D222" s="81" t="s">
        <v>1319</v>
      </c>
      <c r="E222" s="81" t="b">
        <v>0</v>
      </c>
      <c r="F222" s="81" t="b">
        <v>0</v>
      </c>
      <c r="G222" s="81" t="b">
        <v>0</v>
      </c>
    </row>
    <row r="223" spans="1:7" ht="15">
      <c r="A223" s="88" t="s">
        <v>1382</v>
      </c>
      <c r="B223" s="81">
        <v>4</v>
      </c>
      <c r="C223" s="108">
        <v>0.006370270196857682</v>
      </c>
      <c r="D223" s="81" t="s">
        <v>1319</v>
      </c>
      <c r="E223" s="81" t="b">
        <v>0</v>
      </c>
      <c r="F223" s="81" t="b">
        <v>0</v>
      </c>
      <c r="G223" s="81" t="b">
        <v>0</v>
      </c>
    </row>
    <row r="224" spans="1:7" ht="15">
      <c r="A224" s="88" t="s">
        <v>1402</v>
      </c>
      <c r="B224" s="81">
        <v>4</v>
      </c>
      <c r="C224" s="108">
        <v>0.006952735169390548</v>
      </c>
      <c r="D224" s="81" t="s">
        <v>1319</v>
      </c>
      <c r="E224" s="81" t="b">
        <v>0</v>
      </c>
      <c r="F224" s="81" t="b">
        <v>0</v>
      </c>
      <c r="G224" s="81" t="b">
        <v>0</v>
      </c>
    </row>
    <row r="225" spans="1:7" ht="15">
      <c r="A225" s="88" t="s">
        <v>1401</v>
      </c>
      <c r="B225" s="81">
        <v>4</v>
      </c>
      <c r="C225" s="108">
        <v>0.006370270196857682</v>
      </c>
      <c r="D225" s="81" t="s">
        <v>1319</v>
      </c>
      <c r="E225" s="81" t="b">
        <v>0</v>
      </c>
      <c r="F225" s="81" t="b">
        <v>0</v>
      </c>
      <c r="G225" s="81" t="b">
        <v>0</v>
      </c>
    </row>
    <row r="226" spans="1:7" ht="15">
      <c r="A226" s="88" t="s">
        <v>1387</v>
      </c>
      <c r="B226" s="81">
        <v>4</v>
      </c>
      <c r="C226" s="108">
        <v>0.006370270196857682</v>
      </c>
      <c r="D226" s="81" t="s">
        <v>1319</v>
      </c>
      <c r="E226" s="81" t="b">
        <v>1</v>
      </c>
      <c r="F226" s="81" t="b">
        <v>0</v>
      </c>
      <c r="G226" s="81" t="b">
        <v>0</v>
      </c>
    </row>
    <row r="227" spans="1:7" ht="15">
      <c r="A227" s="88" t="s">
        <v>1397</v>
      </c>
      <c r="B227" s="81">
        <v>4</v>
      </c>
      <c r="C227" s="108">
        <v>0.006370270196857682</v>
      </c>
      <c r="D227" s="81" t="s">
        <v>1319</v>
      </c>
      <c r="E227" s="81" t="b">
        <v>0</v>
      </c>
      <c r="F227" s="81" t="b">
        <v>0</v>
      </c>
      <c r="G227" s="81" t="b">
        <v>0</v>
      </c>
    </row>
    <row r="228" spans="1:7" ht="15">
      <c r="A228" s="88" t="s">
        <v>1433</v>
      </c>
      <c r="B228" s="81">
        <v>3</v>
      </c>
      <c r="C228" s="108">
        <v>0.005214551377042911</v>
      </c>
      <c r="D228" s="81" t="s">
        <v>1319</v>
      </c>
      <c r="E228" s="81" t="b">
        <v>0</v>
      </c>
      <c r="F228" s="81" t="b">
        <v>0</v>
      </c>
      <c r="G228" s="81" t="b">
        <v>0</v>
      </c>
    </row>
    <row r="229" spans="1:7" ht="15">
      <c r="A229" s="88" t="s">
        <v>1399</v>
      </c>
      <c r="B229" s="81">
        <v>3</v>
      </c>
      <c r="C229" s="108">
        <v>0.005214551377042911</v>
      </c>
      <c r="D229" s="81" t="s">
        <v>1319</v>
      </c>
      <c r="E229" s="81" t="b">
        <v>1</v>
      </c>
      <c r="F229" s="81" t="b">
        <v>0</v>
      </c>
      <c r="G229" s="81" t="b">
        <v>0</v>
      </c>
    </row>
    <row r="230" spans="1:7" ht="15">
      <c r="A230" s="88" t="s">
        <v>1418</v>
      </c>
      <c r="B230" s="81">
        <v>3</v>
      </c>
      <c r="C230" s="108">
        <v>0.005214551377042911</v>
      </c>
      <c r="D230" s="81" t="s">
        <v>1319</v>
      </c>
      <c r="E230" s="81" t="b">
        <v>0</v>
      </c>
      <c r="F230" s="81" t="b">
        <v>0</v>
      </c>
      <c r="G230" s="81" t="b">
        <v>0</v>
      </c>
    </row>
    <row r="231" spans="1:7" ht="15">
      <c r="A231" s="88" t="s">
        <v>1416</v>
      </c>
      <c r="B231" s="81">
        <v>3</v>
      </c>
      <c r="C231" s="108">
        <v>0.005214551377042911</v>
      </c>
      <c r="D231" s="81" t="s">
        <v>1319</v>
      </c>
      <c r="E231" s="81" t="b">
        <v>1</v>
      </c>
      <c r="F231" s="81" t="b">
        <v>0</v>
      </c>
      <c r="G231" s="81" t="b">
        <v>0</v>
      </c>
    </row>
    <row r="232" spans="1:7" ht="15">
      <c r="A232" s="88" t="s">
        <v>1436</v>
      </c>
      <c r="B232" s="81">
        <v>3</v>
      </c>
      <c r="C232" s="108">
        <v>0.005214551377042911</v>
      </c>
      <c r="D232" s="81" t="s">
        <v>1319</v>
      </c>
      <c r="E232" s="81" t="b">
        <v>0</v>
      </c>
      <c r="F232" s="81" t="b">
        <v>0</v>
      </c>
      <c r="G232" s="81" t="b">
        <v>0</v>
      </c>
    </row>
    <row r="233" spans="1:7" ht="15">
      <c r="A233" s="88" t="s">
        <v>1422</v>
      </c>
      <c r="B233" s="81">
        <v>3</v>
      </c>
      <c r="C233" s="108">
        <v>0.005214551377042911</v>
      </c>
      <c r="D233" s="81" t="s">
        <v>1319</v>
      </c>
      <c r="E233" s="81" t="b">
        <v>0</v>
      </c>
      <c r="F233" s="81" t="b">
        <v>0</v>
      </c>
      <c r="G233" s="81" t="b">
        <v>0</v>
      </c>
    </row>
    <row r="234" spans="1:7" ht="15">
      <c r="A234" s="88" t="s">
        <v>1430</v>
      </c>
      <c r="B234" s="81">
        <v>3</v>
      </c>
      <c r="C234" s="108">
        <v>0.005214551377042911</v>
      </c>
      <c r="D234" s="81" t="s">
        <v>1319</v>
      </c>
      <c r="E234" s="81" t="b">
        <v>0</v>
      </c>
      <c r="F234" s="81" t="b">
        <v>0</v>
      </c>
      <c r="G234" s="81" t="b">
        <v>0</v>
      </c>
    </row>
    <row r="235" spans="1:7" ht="15">
      <c r="A235" s="88" t="s">
        <v>1431</v>
      </c>
      <c r="B235" s="81">
        <v>3</v>
      </c>
      <c r="C235" s="108">
        <v>0.005214551377042911</v>
      </c>
      <c r="D235" s="81" t="s">
        <v>1319</v>
      </c>
      <c r="E235" s="81" t="b">
        <v>1</v>
      </c>
      <c r="F235" s="81" t="b">
        <v>0</v>
      </c>
      <c r="G235" s="81" t="b">
        <v>0</v>
      </c>
    </row>
    <row r="236" spans="1:7" ht="15">
      <c r="A236" s="88" t="s">
        <v>1441</v>
      </c>
      <c r="B236" s="81">
        <v>3</v>
      </c>
      <c r="C236" s="108">
        <v>0.005830255080034804</v>
      </c>
      <c r="D236" s="81" t="s">
        <v>1319</v>
      </c>
      <c r="E236" s="81" t="b">
        <v>0</v>
      </c>
      <c r="F236" s="81" t="b">
        <v>0</v>
      </c>
      <c r="G236" s="81" t="b">
        <v>0</v>
      </c>
    </row>
    <row r="237" spans="1:7" ht="15">
      <c r="A237" s="88" t="s">
        <v>1404</v>
      </c>
      <c r="B237" s="81">
        <v>3</v>
      </c>
      <c r="C237" s="108">
        <v>0.005214551377042911</v>
      </c>
      <c r="D237" s="81" t="s">
        <v>1319</v>
      </c>
      <c r="E237" s="81" t="b">
        <v>0</v>
      </c>
      <c r="F237" s="81" t="b">
        <v>0</v>
      </c>
      <c r="G237" s="81" t="b">
        <v>0</v>
      </c>
    </row>
    <row r="238" spans="1:7" ht="15">
      <c r="A238" s="88" t="s">
        <v>1400</v>
      </c>
      <c r="B238" s="81">
        <v>3</v>
      </c>
      <c r="C238" s="108">
        <v>0.005214551377042911</v>
      </c>
      <c r="D238" s="81" t="s">
        <v>1319</v>
      </c>
      <c r="E238" s="81" t="b">
        <v>0</v>
      </c>
      <c r="F238" s="81" t="b">
        <v>0</v>
      </c>
      <c r="G238" s="81" t="b">
        <v>0</v>
      </c>
    </row>
    <row r="239" spans="1:7" ht="15">
      <c r="A239" s="88" t="s">
        <v>1396</v>
      </c>
      <c r="B239" s="81">
        <v>3</v>
      </c>
      <c r="C239" s="108">
        <v>0.005830255080034804</v>
      </c>
      <c r="D239" s="81" t="s">
        <v>1319</v>
      </c>
      <c r="E239" s="81" t="b">
        <v>0</v>
      </c>
      <c r="F239" s="81" t="b">
        <v>0</v>
      </c>
      <c r="G239" s="81" t="b">
        <v>0</v>
      </c>
    </row>
    <row r="240" spans="1:7" ht="15">
      <c r="A240" s="88" t="s">
        <v>1419</v>
      </c>
      <c r="B240" s="81">
        <v>3</v>
      </c>
      <c r="C240" s="108">
        <v>0.005214551377042911</v>
      </c>
      <c r="D240" s="81" t="s">
        <v>1319</v>
      </c>
      <c r="E240" s="81" t="b">
        <v>0</v>
      </c>
      <c r="F240" s="81" t="b">
        <v>1</v>
      </c>
      <c r="G240" s="81" t="b">
        <v>0</v>
      </c>
    </row>
    <row r="241" spans="1:7" ht="15">
      <c r="A241" s="88" t="s">
        <v>1415</v>
      </c>
      <c r="B241" s="81">
        <v>3</v>
      </c>
      <c r="C241" s="108">
        <v>0.005214551377042911</v>
      </c>
      <c r="D241" s="81" t="s">
        <v>1319</v>
      </c>
      <c r="E241" s="81" t="b">
        <v>1</v>
      </c>
      <c r="F241" s="81" t="b">
        <v>0</v>
      </c>
      <c r="G241" s="81" t="b">
        <v>0</v>
      </c>
    </row>
    <row r="242" spans="1:7" ht="15">
      <c r="A242" s="88" t="s">
        <v>1427</v>
      </c>
      <c r="B242" s="81">
        <v>3</v>
      </c>
      <c r="C242" s="108">
        <v>0.005214551377042911</v>
      </c>
      <c r="D242" s="81" t="s">
        <v>1319</v>
      </c>
      <c r="E242" s="81" t="b">
        <v>0</v>
      </c>
      <c r="F242" s="81" t="b">
        <v>0</v>
      </c>
      <c r="G242" s="81" t="b">
        <v>0</v>
      </c>
    </row>
    <row r="243" spans="1:7" ht="15">
      <c r="A243" s="88" t="s">
        <v>1439</v>
      </c>
      <c r="B243" s="81">
        <v>3</v>
      </c>
      <c r="C243" s="108">
        <v>0.005830255080034804</v>
      </c>
      <c r="D243" s="81" t="s">
        <v>1319</v>
      </c>
      <c r="E243" s="81" t="b">
        <v>1</v>
      </c>
      <c r="F243" s="81" t="b">
        <v>0</v>
      </c>
      <c r="G243" s="81" t="b">
        <v>0</v>
      </c>
    </row>
    <row r="244" spans="1:7" ht="15">
      <c r="A244" s="88" t="s">
        <v>1428</v>
      </c>
      <c r="B244" s="81">
        <v>3</v>
      </c>
      <c r="C244" s="108">
        <v>0.005830255080034804</v>
      </c>
      <c r="D244" s="81" t="s">
        <v>1319</v>
      </c>
      <c r="E244" s="81" t="b">
        <v>0</v>
      </c>
      <c r="F244" s="81" t="b">
        <v>1</v>
      </c>
      <c r="G244" s="81" t="b">
        <v>0</v>
      </c>
    </row>
    <row r="245" spans="1:7" ht="15">
      <c r="A245" s="88" t="s">
        <v>1417</v>
      </c>
      <c r="B245" s="81">
        <v>3</v>
      </c>
      <c r="C245" s="108">
        <v>0.005214551377042911</v>
      </c>
      <c r="D245" s="81" t="s">
        <v>1319</v>
      </c>
      <c r="E245" s="81" t="b">
        <v>0</v>
      </c>
      <c r="F245" s="81" t="b">
        <v>0</v>
      </c>
      <c r="G245" s="81" t="b">
        <v>0</v>
      </c>
    </row>
    <row r="246" spans="1:7" ht="15">
      <c r="A246" s="88" t="s">
        <v>1411</v>
      </c>
      <c r="B246" s="81">
        <v>3</v>
      </c>
      <c r="C246" s="108">
        <v>0.005830255080034804</v>
      </c>
      <c r="D246" s="81" t="s">
        <v>1319</v>
      </c>
      <c r="E246" s="81" t="b">
        <v>0</v>
      </c>
      <c r="F246" s="81" t="b">
        <v>0</v>
      </c>
      <c r="G246" s="81" t="b">
        <v>0</v>
      </c>
    </row>
    <row r="247" spans="1:7" ht="15">
      <c r="A247" s="88" t="s">
        <v>1391</v>
      </c>
      <c r="B247" s="81">
        <v>3</v>
      </c>
      <c r="C247" s="108">
        <v>0.005830255080034804</v>
      </c>
      <c r="D247" s="81" t="s">
        <v>1319</v>
      </c>
      <c r="E247" s="81" t="b">
        <v>0</v>
      </c>
      <c r="F247" s="81" t="b">
        <v>0</v>
      </c>
      <c r="G247" s="81" t="b">
        <v>0</v>
      </c>
    </row>
    <row r="248" spans="1:7" ht="15">
      <c r="A248" s="88" t="s">
        <v>1394</v>
      </c>
      <c r="B248" s="81">
        <v>3</v>
      </c>
      <c r="C248" s="108">
        <v>0.005214551377042911</v>
      </c>
      <c r="D248" s="81" t="s">
        <v>1319</v>
      </c>
      <c r="E248" s="81" t="b">
        <v>0</v>
      </c>
      <c r="F248" s="81" t="b">
        <v>0</v>
      </c>
      <c r="G248" s="81" t="b">
        <v>0</v>
      </c>
    </row>
    <row r="249" spans="1:7" ht="15">
      <c r="A249" s="88" t="s">
        <v>1445</v>
      </c>
      <c r="B249" s="81">
        <v>3</v>
      </c>
      <c r="C249" s="108">
        <v>0.005214551377042911</v>
      </c>
      <c r="D249" s="81" t="s">
        <v>1319</v>
      </c>
      <c r="E249" s="81" t="b">
        <v>0</v>
      </c>
      <c r="F249" s="81" t="b">
        <v>0</v>
      </c>
      <c r="G249" s="81" t="b">
        <v>0</v>
      </c>
    </row>
    <row r="250" spans="1:7" ht="15">
      <c r="A250" s="88" t="s">
        <v>1493</v>
      </c>
      <c r="B250" s="81">
        <v>2</v>
      </c>
      <c r="C250" s="108">
        <v>0.003886836720023203</v>
      </c>
      <c r="D250" s="81" t="s">
        <v>1319</v>
      </c>
      <c r="E250" s="81" t="b">
        <v>0</v>
      </c>
      <c r="F250" s="81" t="b">
        <v>0</v>
      </c>
      <c r="G250" s="81" t="b">
        <v>0</v>
      </c>
    </row>
    <row r="251" spans="1:7" ht="15">
      <c r="A251" s="88" t="s">
        <v>1477</v>
      </c>
      <c r="B251" s="81">
        <v>2</v>
      </c>
      <c r="C251" s="108">
        <v>0.004588538341617564</v>
      </c>
      <c r="D251" s="81" t="s">
        <v>1319</v>
      </c>
      <c r="E251" s="81" t="b">
        <v>0</v>
      </c>
      <c r="F251" s="81" t="b">
        <v>0</v>
      </c>
      <c r="G251" s="81" t="b">
        <v>0</v>
      </c>
    </row>
    <row r="252" spans="1:7" ht="15">
      <c r="A252" s="88" t="s">
        <v>1393</v>
      </c>
      <c r="B252" s="81">
        <v>2</v>
      </c>
      <c r="C252" s="108">
        <v>0.003886836720023203</v>
      </c>
      <c r="D252" s="81" t="s">
        <v>1319</v>
      </c>
      <c r="E252" s="81" t="b">
        <v>0</v>
      </c>
      <c r="F252" s="81" t="b">
        <v>0</v>
      </c>
      <c r="G252" s="81" t="b">
        <v>0</v>
      </c>
    </row>
    <row r="253" spans="1:7" ht="15">
      <c r="A253" s="88" t="s">
        <v>1438</v>
      </c>
      <c r="B253" s="81">
        <v>2</v>
      </c>
      <c r="C253" s="108">
        <v>0.003886836720023203</v>
      </c>
      <c r="D253" s="81" t="s">
        <v>1319</v>
      </c>
      <c r="E253" s="81" t="b">
        <v>1</v>
      </c>
      <c r="F253" s="81" t="b">
        <v>0</v>
      </c>
      <c r="G253" s="81" t="b">
        <v>0</v>
      </c>
    </row>
    <row r="254" spans="1:7" ht="15">
      <c r="A254" s="88" t="s">
        <v>1460</v>
      </c>
      <c r="B254" s="81">
        <v>2</v>
      </c>
      <c r="C254" s="108">
        <v>0.003886836720023203</v>
      </c>
      <c r="D254" s="81" t="s">
        <v>1319</v>
      </c>
      <c r="E254" s="81" t="b">
        <v>0</v>
      </c>
      <c r="F254" s="81" t="b">
        <v>0</v>
      </c>
      <c r="G254" s="81" t="b">
        <v>0</v>
      </c>
    </row>
    <row r="255" spans="1:7" ht="15">
      <c r="A255" s="88" t="s">
        <v>1423</v>
      </c>
      <c r="B255" s="81">
        <v>2</v>
      </c>
      <c r="C255" s="108">
        <v>0.003886836720023203</v>
      </c>
      <c r="D255" s="81" t="s">
        <v>1319</v>
      </c>
      <c r="E255" s="81" t="b">
        <v>0</v>
      </c>
      <c r="F255" s="81" t="b">
        <v>0</v>
      </c>
      <c r="G255" s="81" t="b">
        <v>0</v>
      </c>
    </row>
    <row r="256" spans="1:7" ht="15">
      <c r="A256" s="88" t="s">
        <v>1455</v>
      </c>
      <c r="B256" s="81">
        <v>2</v>
      </c>
      <c r="C256" s="108">
        <v>0.003886836720023203</v>
      </c>
      <c r="D256" s="81" t="s">
        <v>1319</v>
      </c>
      <c r="E256" s="81" t="b">
        <v>0</v>
      </c>
      <c r="F256" s="81" t="b">
        <v>0</v>
      </c>
      <c r="G256" s="81" t="b">
        <v>0</v>
      </c>
    </row>
    <row r="257" spans="1:7" ht="15">
      <c r="A257" s="88" t="s">
        <v>1408</v>
      </c>
      <c r="B257" s="81">
        <v>2</v>
      </c>
      <c r="C257" s="108">
        <v>0.003886836720023203</v>
      </c>
      <c r="D257" s="81" t="s">
        <v>1319</v>
      </c>
      <c r="E257" s="81" t="b">
        <v>0</v>
      </c>
      <c r="F257" s="81" t="b">
        <v>0</v>
      </c>
      <c r="G257" s="81" t="b">
        <v>0</v>
      </c>
    </row>
    <row r="258" spans="1:7" ht="15">
      <c r="A258" s="88" t="s">
        <v>1453</v>
      </c>
      <c r="B258" s="81">
        <v>2</v>
      </c>
      <c r="C258" s="108">
        <v>0.003886836720023203</v>
      </c>
      <c r="D258" s="81" t="s">
        <v>1319</v>
      </c>
      <c r="E258" s="81" t="b">
        <v>0</v>
      </c>
      <c r="F258" s="81" t="b">
        <v>0</v>
      </c>
      <c r="G258" s="81" t="b">
        <v>0</v>
      </c>
    </row>
    <row r="259" spans="1:7" ht="15">
      <c r="A259" s="88" t="s">
        <v>1105</v>
      </c>
      <c r="B259" s="81">
        <v>2</v>
      </c>
      <c r="C259" s="108">
        <v>0.003886836720023203</v>
      </c>
      <c r="D259" s="81" t="s">
        <v>1319</v>
      </c>
      <c r="E259" s="81" t="b">
        <v>1</v>
      </c>
      <c r="F259" s="81" t="b">
        <v>0</v>
      </c>
      <c r="G259" s="81" t="b">
        <v>0</v>
      </c>
    </row>
    <row r="260" spans="1:7" ht="15">
      <c r="A260" s="88" t="s">
        <v>1420</v>
      </c>
      <c r="B260" s="81">
        <v>2</v>
      </c>
      <c r="C260" s="108">
        <v>0.004588538341617564</v>
      </c>
      <c r="D260" s="81" t="s">
        <v>1319</v>
      </c>
      <c r="E260" s="81" t="b">
        <v>0</v>
      </c>
      <c r="F260" s="81" t="b">
        <v>1</v>
      </c>
      <c r="G260" s="81" t="b">
        <v>0</v>
      </c>
    </row>
    <row r="261" spans="1:7" ht="15">
      <c r="A261" s="88" t="s">
        <v>1482</v>
      </c>
      <c r="B261" s="81">
        <v>2</v>
      </c>
      <c r="C261" s="108">
        <v>0.003886836720023203</v>
      </c>
      <c r="D261" s="81" t="s">
        <v>1319</v>
      </c>
      <c r="E261" s="81" t="b">
        <v>0</v>
      </c>
      <c r="F261" s="81" t="b">
        <v>0</v>
      </c>
      <c r="G261" s="81" t="b">
        <v>0</v>
      </c>
    </row>
    <row r="262" spans="1:7" ht="15">
      <c r="A262" s="88" t="s">
        <v>1465</v>
      </c>
      <c r="B262" s="81">
        <v>2</v>
      </c>
      <c r="C262" s="108">
        <v>0.003886836720023203</v>
      </c>
      <c r="D262" s="81" t="s">
        <v>1319</v>
      </c>
      <c r="E262" s="81" t="b">
        <v>0</v>
      </c>
      <c r="F262" s="81" t="b">
        <v>0</v>
      </c>
      <c r="G262" s="81" t="b">
        <v>0</v>
      </c>
    </row>
    <row r="263" spans="1:7" ht="15">
      <c r="A263" s="88" t="s">
        <v>1518</v>
      </c>
      <c r="B263" s="81">
        <v>2</v>
      </c>
      <c r="C263" s="108">
        <v>0.004588538341617564</v>
      </c>
      <c r="D263" s="81" t="s">
        <v>1319</v>
      </c>
      <c r="E263" s="81" t="b">
        <v>0</v>
      </c>
      <c r="F263" s="81" t="b">
        <v>0</v>
      </c>
      <c r="G263" s="81" t="b">
        <v>0</v>
      </c>
    </row>
    <row r="264" spans="1:7" ht="15">
      <c r="A264" s="88" t="s">
        <v>1440</v>
      </c>
      <c r="B264" s="81">
        <v>2</v>
      </c>
      <c r="C264" s="108">
        <v>0.003886836720023203</v>
      </c>
      <c r="D264" s="81" t="s">
        <v>1319</v>
      </c>
      <c r="E264" s="81" t="b">
        <v>0</v>
      </c>
      <c r="F264" s="81" t="b">
        <v>0</v>
      </c>
      <c r="G264" s="81" t="b">
        <v>0</v>
      </c>
    </row>
    <row r="265" spans="1:7" ht="15">
      <c r="A265" s="88" t="s">
        <v>1516</v>
      </c>
      <c r="B265" s="81">
        <v>2</v>
      </c>
      <c r="C265" s="108">
        <v>0.004588538341617564</v>
      </c>
      <c r="D265" s="81" t="s">
        <v>1319</v>
      </c>
      <c r="E265" s="81" t="b">
        <v>0</v>
      </c>
      <c r="F265" s="81" t="b">
        <v>0</v>
      </c>
      <c r="G265" s="81" t="b">
        <v>0</v>
      </c>
    </row>
    <row r="266" spans="1:7" ht="15">
      <c r="A266" s="88" t="s">
        <v>1480</v>
      </c>
      <c r="B266" s="81">
        <v>2</v>
      </c>
      <c r="C266" s="108">
        <v>0.004588538341617564</v>
      </c>
      <c r="D266" s="81" t="s">
        <v>1319</v>
      </c>
      <c r="E266" s="81" t="b">
        <v>0</v>
      </c>
      <c r="F266" s="81" t="b">
        <v>0</v>
      </c>
      <c r="G266" s="81" t="b">
        <v>0</v>
      </c>
    </row>
    <row r="267" spans="1:7" ht="15">
      <c r="A267" s="88" t="s">
        <v>1444</v>
      </c>
      <c r="B267" s="81">
        <v>2</v>
      </c>
      <c r="C267" s="108">
        <v>0.003886836720023203</v>
      </c>
      <c r="D267" s="81" t="s">
        <v>1319</v>
      </c>
      <c r="E267" s="81" t="b">
        <v>0</v>
      </c>
      <c r="F267" s="81" t="b">
        <v>0</v>
      </c>
      <c r="G267" s="81" t="b">
        <v>0</v>
      </c>
    </row>
    <row r="268" spans="1:7" ht="15">
      <c r="A268" s="88" t="s">
        <v>1457</v>
      </c>
      <c r="B268" s="81">
        <v>2</v>
      </c>
      <c r="C268" s="108">
        <v>0.004588538341617564</v>
      </c>
      <c r="D268" s="81" t="s">
        <v>1319</v>
      </c>
      <c r="E268" s="81" t="b">
        <v>0</v>
      </c>
      <c r="F268" s="81" t="b">
        <v>0</v>
      </c>
      <c r="G268" s="81" t="b">
        <v>0</v>
      </c>
    </row>
    <row r="269" spans="1:7" ht="15">
      <c r="A269" s="88" t="s">
        <v>1507</v>
      </c>
      <c r="B269" s="81">
        <v>2</v>
      </c>
      <c r="C269" s="108">
        <v>0.003886836720023203</v>
      </c>
      <c r="D269" s="81" t="s">
        <v>1319</v>
      </c>
      <c r="E269" s="81" t="b">
        <v>0</v>
      </c>
      <c r="F269" s="81" t="b">
        <v>0</v>
      </c>
      <c r="G269" s="81" t="b">
        <v>0</v>
      </c>
    </row>
    <row r="270" spans="1:7" ht="15">
      <c r="A270" s="88" t="s">
        <v>1437</v>
      </c>
      <c r="B270" s="81">
        <v>2</v>
      </c>
      <c r="C270" s="108">
        <v>0.003886836720023203</v>
      </c>
      <c r="D270" s="81" t="s">
        <v>1319</v>
      </c>
      <c r="E270" s="81" t="b">
        <v>0</v>
      </c>
      <c r="F270" s="81" t="b">
        <v>0</v>
      </c>
      <c r="G270" s="81" t="b">
        <v>0</v>
      </c>
    </row>
    <row r="271" spans="1:7" ht="15">
      <c r="A271" s="88" t="s">
        <v>1511</v>
      </c>
      <c r="B271" s="81">
        <v>2</v>
      </c>
      <c r="C271" s="108">
        <v>0.003886836720023203</v>
      </c>
      <c r="D271" s="81" t="s">
        <v>1319</v>
      </c>
      <c r="E271" s="81" t="b">
        <v>1</v>
      </c>
      <c r="F271" s="81" t="b">
        <v>0</v>
      </c>
      <c r="G271" s="81" t="b">
        <v>0</v>
      </c>
    </row>
    <row r="272" spans="1:7" ht="15">
      <c r="A272" s="88" t="s">
        <v>1409</v>
      </c>
      <c r="B272" s="81">
        <v>2</v>
      </c>
      <c r="C272" s="108">
        <v>0.003886836720023203</v>
      </c>
      <c r="D272" s="81" t="s">
        <v>1319</v>
      </c>
      <c r="E272" s="81" t="b">
        <v>0</v>
      </c>
      <c r="F272" s="81" t="b">
        <v>0</v>
      </c>
      <c r="G272" s="81" t="b">
        <v>0</v>
      </c>
    </row>
    <row r="273" spans="1:7" ht="15">
      <c r="A273" s="88" t="s">
        <v>1435</v>
      </c>
      <c r="B273" s="81">
        <v>2</v>
      </c>
      <c r="C273" s="108">
        <v>0.003886836720023203</v>
      </c>
      <c r="D273" s="81" t="s">
        <v>1319</v>
      </c>
      <c r="E273" s="81" t="b">
        <v>0</v>
      </c>
      <c r="F273" s="81" t="b">
        <v>0</v>
      </c>
      <c r="G273" s="81" t="b">
        <v>0</v>
      </c>
    </row>
    <row r="274" spans="1:7" ht="15">
      <c r="A274" s="88" t="s">
        <v>1463</v>
      </c>
      <c r="B274" s="81">
        <v>2</v>
      </c>
      <c r="C274" s="108">
        <v>0.004588538341617564</v>
      </c>
      <c r="D274" s="81" t="s">
        <v>1319</v>
      </c>
      <c r="E274" s="81" t="b">
        <v>0</v>
      </c>
      <c r="F274" s="81" t="b">
        <v>0</v>
      </c>
      <c r="G274" s="81" t="b">
        <v>0</v>
      </c>
    </row>
    <row r="275" spans="1:7" ht="15">
      <c r="A275" s="88" t="s">
        <v>1450</v>
      </c>
      <c r="B275" s="81">
        <v>2</v>
      </c>
      <c r="C275" s="108">
        <v>0.003886836720023203</v>
      </c>
      <c r="D275" s="81" t="s">
        <v>1319</v>
      </c>
      <c r="E275" s="81" t="b">
        <v>0</v>
      </c>
      <c r="F275" s="81" t="b">
        <v>0</v>
      </c>
      <c r="G275" s="81" t="b">
        <v>0</v>
      </c>
    </row>
    <row r="276" spans="1:7" ht="15">
      <c r="A276" s="88" t="s">
        <v>1424</v>
      </c>
      <c r="B276" s="81">
        <v>2</v>
      </c>
      <c r="C276" s="108">
        <v>0.003886836720023203</v>
      </c>
      <c r="D276" s="81" t="s">
        <v>1319</v>
      </c>
      <c r="E276" s="81" t="b">
        <v>0</v>
      </c>
      <c r="F276" s="81" t="b">
        <v>0</v>
      </c>
      <c r="G276" s="81" t="b">
        <v>0</v>
      </c>
    </row>
    <row r="277" spans="1:7" ht="15">
      <c r="A277" s="88" t="s">
        <v>1474</v>
      </c>
      <c r="B277" s="81">
        <v>2</v>
      </c>
      <c r="C277" s="108">
        <v>0.003886836720023203</v>
      </c>
      <c r="D277" s="81" t="s">
        <v>1319</v>
      </c>
      <c r="E277" s="81" t="b">
        <v>0</v>
      </c>
      <c r="F277" s="81" t="b">
        <v>0</v>
      </c>
      <c r="G277" s="81" t="b">
        <v>0</v>
      </c>
    </row>
    <row r="278" spans="1:7" ht="15">
      <c r="A278" s="88" t="s">
        <v>1497</v>
      </c>
      <c r="B278" s="81">
        <v>2</v>
      </c>
      <c r="C278" s="108">
        <v>0.004588538341617564</v>
      </c>
      <c r="D278" s="81" t="s">
        <v>1319</v>
      </c>
      <c r="E278" s="81" t="b">
        <v>0</v>
      </c>
      <c r="F278" s="81" t="b">
        <v>0</v>
      </c>
      <c r="G278" s="81" t="b">
        <v>0</v>
      </c>
    </row>
    <row r="279" spans="1:7" ht="15">
      <c r="A279" s="88" t="s">
        <v>1429</v>
      </c>
      <c r="B279" s="81">
        <v>2</v>
      </c>
      <c r="C279" s="108">
        <v>0.003886836720023203</v>
      </c>
      <c r="D279" s="81" t="s">
        <v>1319</v>
      </c>
      <c r="E279" s="81" t="b">
        <v>0</v>
      </c>
      <c r="F279" s="81" t="b">
        <v>0</v>
      </c>
      <c r="G279" s="81" t="b">
        <v>0</v>
      </c>
    </row>
    <row r="280" spans="1:7" ht="15">
      <c r="A280" s="88" t="s">
        <v>1521</v>
      </c>
      <c r="B280" s="81">
        <v>2</v>
      </c>
      <c r="C280" s="108">
        <v>0.004588538341617564</v>
      </c>
      <c r="D280" s="81" t="s">
        <v>1319</v>
      </c>
      <c r="E280" s="81" t="b">
        <v>0</v>
      </c>
      <c r="F280" s="81" t="b">
        <v>0</v>
      </c>
      <c r="G280" s="81" t="b">
        <v>0</v>
      </c>
    </row>
    <row r="281" spans="1:7" ht="15">
      <c r="A281" s="88" t="s">
        <v>1459</v>
      </c>
      <c r="B281" s="81">
        <v>2</v>
      </c>
      <c r="C281" s="108">
        <v>0.004588538341617564</v>
      </c>
      <c r="D281" s="81" t="s">
        <v>1319</v>
      </c>
      <c r="E281" s="81" t="b">
        <v>0</v>
      </c>
      <c r="F281" s="81" t="b">
        <v>0</v>
      </c>
      <c r="G281" s="81" t="b">
        <v>0</v>
      </c>
    </row>
    <row r="282" spans="1:7" ht="15">
      <c r="A282" s="88" t="s">
        <v>1410</v>
      </c>
      <c r="B282" s="81">
        <v>2</v>
      </c>
      <c r="C282" s="108">
        <v>0.003886836720023203</v>
      </c>
      <c r="D282" s="81" t="s">
        <v>1319</v>
      </c>
      <c r="E282" s="81" t="b">
        <v>0</v>
      </c>
      <c r="F282" s="81" t="b">
        <v>0</v>
      </c>
      <c r="G282" s="81" t="b">
        <v>0</v>
      </c>
    </row>
    <row r="283" spans="1:7" ht="15">
      <c r="A283" s="88" t="s">
        <v>1479</v>
      </c>
      <c r="B283" s="81">
        <v>2</v>
      </c>
      <c r="C283" s="108">
        <v>0.003886836720023203</v>
      </c>
      <c r="D283" s="81" t="s">
        <v>1319</v>
      </c>
      <c r="E283" s="81" t="b">
        <v>0</v>
      </c>
      <c r="F283" s="81" t="b">
        <v>0</v>
      </c>
      <c r="G283" s="81" t="b">
        <v>0</v>
      </c>
    </row>
    <row r="284" spans="1:7" ht="15">
      <c r="A284" s="88" t="s">
        <v>1464</v>
      </c>
      <c r="B284" s="81">
        <v>2</v>
      </c>
      <c r="C284" s="108">
        <v>0.003886836720023203</v>
      </c>
      <c r="D284" s="81" t="s">
        <v>1319</v>
      </c>
      <c r="E284" s="81" t="b">
        <v>1</v>
      </c>
      <c r="F284" s="81" t="b">
        <v>0</v>
      </c>
      <c r="G284" s="81" t="b">
        <v>0</v>
      </c>
    </row>
    <row r="285" spans="1:7" ht="15">
      <c r="A285" s="88" t="s">
        <v>1425</v>
      </c>
      <c r="B285" s="81">
        <v>2</v>
      </c>
      <c r="C285" s="108">
        <v>0.003886836720023203</v>
      </c>
      <c r="D285" s="81" t="s">
        <v>1319</v>
      </c>
      <c r="E285" s="81" t="b">
        <v>1</v>
      </c>
      <c r="F285" s="81" t="b">
        <v>0</v>
      </c>
      <c r="G285" s="81" t="b">
        <v>0</v>
      </c>
    </row>
    <row r="286" spans="1:7" ht="15">
      <c r="A286" s="88" t="s">
        <v>1488</v>
      </c>
      <c r="B286" s="81">
        <v>2</v>
      </c>
      <c r="C286" s="108">
        <v>0.003886836720023203</v>
      </c>
      <c r="D286" s="81" t="s">
        <v>1319</v>
      </c>
      <c r="E286" s="81" t="b">
        <v>0</v>
      </c>
      <c r="F286" s="81" t="b">
        <v>0</v>
      </c>
      <c r="G286" s="81" t="b">
        <v>0</v>
      </c>
    </row>
    <row r="287" spans="1:7" ht="15">
      <c r="A287" s="88" t="s">
        <v>1388</v>
      </c>
      <c r="B287" s="81">
        <v>2</v>
      </c>
      <c r="C287" s="108">
        <v>0.004588538341617564</v>
      </c>
      <c r="D287" s="81" t="s">
        <v>1319</v>
      </c>
      <c r="E287" s="81" t="b">
        <v>0</v>
      </c>
      <c r="F287" s="81" t="b">
        <v>0</v>
      </c>
      <c r="G287" s="81" t="b">
        <v>0</v>
      </c>
    </row>
    <row r="288" spans="1:7" ht="15">
      <c r="A288" s="88" t="s">
        <v>1503</v>
      </c>
      <c r="B288" s="81">
        <v>2</v>
      </c>
      <c r="C288" s="108">
        <v>0.003886836720023203</v>
      </c>
      <c r="D288" s="81" t="s">
        <v>1319</v>
      </c>
      <c r="E288" s="81" t="b">
        <v>0</v>
      </c>
      <c r="F288" s="81" t="b">
        <v>0</v>
      </c>
      <c r="G288" s="81" t="b">
        <v>0</v>
      </c>
    </row>
    <row r="289" spans="1:7" ht="15">
      <c r="A289" s="88" t="s">
        <v>1461</v>
      </c>
      <c r="B289" s="81">
        <v>2</v>
      </c>
      <c r="C289" s="108">
        <v>0.003886836720023203</v>
      </c>
      <c r="D289" s="81" t="s">
        <v>1319</v>
      </c>
      <c r="E289" s="81" t="b">
        <v>0</v>
      </c>
      <c r="F289" s="81" t="b">
        <v>0</v>
      </c>
      <c r="G289" s="81" t="b">
        <v>0</v>
      </c>
    </row>
    <row r="290" spans="1:7" ht="15">
      <c r="A290" s="88" t="s">
        <v>1506</v>
      </c>
      <c r="B290" s="81">
        <v>2</v>
      </c>
      <c r="C290" s="108">
        <v>0.003886836720023203</v>
      </c>
      <c r="D290" s="81" t="s">
        <v>1319</v>
      </c>
      <c r="E290" s="81" t="b">
        <v>0</v>
      </c>
      <c r="F290" s="81" t="b">
        <v>0</v>
      </c>
      <c r="G290" s="81" t="b">
        <v>0</v>
      </c>
    </row>
    <row r="291" spans="1:7" ht="15">
      <c r="A291" s="88" t="s">
        <v>1501</v>
      </c>
      <c r="B291" s="81">
        <v>2</v>
      </c>
      <c r="C291" s="108">
        <v>0.003886836720023203</v>
      </c>
      <c r="D291" s="81" t="s">
        <v>1319</v>
      </c>
      <c r="E291" s="81" t="b">
        <v>0</v>
      </c>
      <c r="F291" s="81" t="b">
        <v>0</v>
      </c>
      <c r="G291" s="81" t="b">
        <v>0</v>
      </c>
    </row>
    <row r="292" spans="1:7" ht="15">
      <c r="A292" s="88" t="s">
        <v>1454</v>
      </c>
      <c r="B292" s="81">
        <v>2</v>
      </c>
      <c r="C292" s="108">
        <v>0.003886836720023203</v>
      </c>
      <c r="D292" s="81" t="s">
        <v>1319</v>
      </c>
      <c r="E292" s="81" t="b">
        <v>0</v>
      </c>
      <c r="F292" s="81" t="b">
        <v>0</v>
      </c>
      <c r="G292" s="81" t="b">
        <v>0</v>
      </c>
    </row>
    <row r="293" spans="1:7" ht="15">
      <c r="A293" s="88" t="s">
        <v>1449</v>
      </c>
      <c r="B293" s="81">
        <v>2</v>
      </c>
      <c r="C293" s="108">
        <v>0.003886836720023203</v>
      </c>
      <c r="D293" s="81" t="s">
        <v>1319</v>
      </c>
      <c r="E293" s="81" t="b">
        <v>0</v>
      </c>
      <c r="F293" s="81" t="b">
        <v>0</v>
      </c>
      <c r="G293" s="81" t="b">
        <v>0</v>
      </c>
    </row>
    <row r="294" spans="1:7" ht="15">
      <c r="A294" s="88" t="s">
        <v>1510</v>
      </c>
      <c r="B294" s="81">
        <v>2</v>
      </c>
      <c r="C294" s="108">
        <v>0.003886836720023203</v>
      </c>
      <c r="D294" s="81" t="s">
        <v>1319</v>
      </c>
      <c r="E294" s="81" t="b">
        <v>0</v>
      </c>
      <c r="F294" s="81" t="b">
        <v>0</v>
      </c>
      <c r="G294" s="81" t="b">
        <v>0</v>
      </c>
    </row>
    <row r="295" spans="1:7" ht="15">
      <c r="A295" s="88" t="s">
        <v>1481</v>
      </c>
      <c r="B295" s="81">
        <v>2</v>
      </c>
      <c r="C295" s="108">
        <v>0.003886836720023203</v>
      </c>
      <c r="D295" s="81" t="s">
        <v>1319</v>
      </c>
      <c r="E295" s="81" t="b">
        <v>0</v>
      </c>
      <c r="F295" s="81" t="b">
        <v>0</v>
      </c>
      <c r="G295" s="81" t="b">
        <v>0</v>
      </c>
    </row>
    <row r="296" spans="1:7" ht="15">
      <c r="A296" s="88" t="s">
        <v>1446</v>
      </c>
      <c r="B296" s="81">
        <v>2</v>
      </c>
      <c r="C296" s="108">
        <v>0.003886836720023203</v>
      </c>
      <c r="D296" s="81" t="s">
        <v>1319</v>
      </c>
      <c r="E296" s="81" t="b">
        <v>0</v>
      </c>
      <c r="F296" s="81" t="b">
        <v>0</v>
      </c>
      <c r="G296" s="81" t="b">
        <v>0</v>
      </c>
    </row>
    <row r="297" spans="1:7" ht="15">
      <c r="A297" s="88" t="s">
        <v>1472</v>
      </c>
      <c r="B297" s="81">
        <v>2</v>
      </c>
      <c r="C297" s="108">
        <v>0.003886836720023203</v>
      </c>
      <c r="D297" s="81" t="s">
        <v>1319</v>
      </c>
      <c r="E297" s="81" t="b">
        <v>0</v>
      </c>
      <c r="F297" s="81" t="b">
        <v>0</v>
      </c>
      <c r="G297" s="81" t="b">
        <v>0</v>
      </c>
    </row>
    <row r="298" spans="1:7" ht="15">
      <c r="A298" s="88" t="s">
        <v>1520</v>
      </c>
      <c r="B298" s="81">
        <v>2</v>
      </c>
      <c r="C298" s="108">
        <v>0.003886836720023203</v>
      </c>
      <c r="D298" s="81" t="s">
        <v>1319</v>
      </c>
      <c r="E298" s="81" t="b">
        <v>0</v>
      </c>
      <c r="F298" s="81" t="b">
        <v>0</v>
      </c>
      <c r="G298" s="81" t="b">
        <v>0</v>
      </c>
    </row>
    <row r="299" spans="1:7" ht="15">
      <c r="A299" s="88" t="s">
        <v>1462</v>
      </c>
      <c r="B299" s="81">
        <v>2</v>
      </c>
      <c r="C299" s="108">
        <v>0.003886836720023203</v>
      </c>
      <c r="D299" s="81" t="s">
        <v>1319</v>
      </c>
      <c r="E299" s="81" t="b">
        <v>0</v>
      </c>
      <c r="F299" s="81" t="b">
        <v>0</v>
      </c>
      <c r="G299" s="81" t="b">
        <v>0</v>
      </c>
    </row>
    <row r="300" spans="1:7" ht="15">
      <c r="A300" s="88" t="s">
        <v>1447</v>
      </c>
      <c r="B300" s="81">
        <v>2</v>
      </c>
      <c r="C300" s="108">
        <v>0.003886836720023203</v>
      </c>
      <c r="D300" s="81" t="s">
        <v>1319</v>
      </c>
      <c r="E300" s="81" t="b">
        <v>0</v>
      </c>
      <c r="F300" s="81" t="b">
        <v>0</v>
      </c>
      <c r="G300" s="81" t="b">
        <v>0</v>
      </c>
    </row>
    <row r="301" spans="1:7" ht="15">
      <c r="A301" s="88" t="s">
        <v>1434</v>
      </c>
      <c r="B301" s="81">
        <v>2</v>
      </c>
      <c r="C301" s="108">
        <v>0.003886836720023203</v>
      </c>
      <c r="D301" s="81" t="s">
        <v>1319</v>
      </c>
      <c r="E301" s="81" t="b">
        <v>0</v>
      </c>
      <c r="F301" s="81" t="b">
        <v>0</v>
      </c>
      <c r="G301" s="81" t="b">
        <v>0</v>
      </c>
    </row>
    <row r="302" spans="1:7" ht="15">
      <c r="A302" s="88" t="s">
        <v>1127</v>
      </c>
      <c r="B302" s="81">
        <v>9</v>
      </c>
      <c r="C302" s="108">
        <v>0.021031884279108317</v>
      </c>
      <c r="D302" s="81" t="s">
        <v>1321</v>
      </c>
      <c r="E302" s="81" t="b">
        <v>0</v>
      </c>
      <c r="F302" s="81" t="b">
        <v>0</v>
      </c>
      <c r="G302" s="81" t="b">
        <v>0</v>
      </c>
    </row>
    <row r="303" spans="1:7" ht="15">
      <c r="A303" s="88" t="s">
        <v>1364</v>
      </c>
      <c r="B303" s="81">
        <v>9</v>
      </c>
      <c r="C303" s="108">
        <v>0.027012994010356717</v>
      </c>
      <c r="D303" s="81" t="s">
        <v>1321</v>
      </c>
      <c r="E303" s="81" t="b">
        <v>0</v>
      </c>
      <c r="F303" s="81" t="b">
        <v>0</v>
      </c>
      <c r="G303" s="81" t="b">
        <v>0</v>
      </c>
    </row>
    <row r="304" spans="1:7" ht="15">
      <c r="A304" s="88" t="s">
        <v>1374</v>
      </c>
      <c r="B304" s="81">
        <v>6</v>
      </c>
      <c r="C304" s="108">
        <v>0.04284327704751721</v>
      </c>
      <c r="D304" s="81" t="s">
        <v>1321</v>
      </c>
      <c r="E304" s="81" t="b">
        <v>0</v>
      </c>
      <c r="F304" s="81" t="b">
        <v>0</v>
      </c>
      <c r="G304" s="81" t="b">
        <v>0</v>
      </c>
    </row>
    <row r="305" spans="1:7" ht="15">
      <c r="A305" s="88" t="s">
        <v>1354</v>
      </c>
      <c r="B305" s="81">
        <v>5</v>
      </c>
      <c r="C305" s="108">
        <v>0.0171131030980369</v>
      </c>
      <c r="D305" s="81" t="s">
        <v>1321</v>
      </c>
      <c r="E305" s="81" t="b">
        <v>0</v>
      </c>
      <c r="F305" s="81" t="b">
        <v>0</v>
      </c>
      <c r="G305" s="81" t="b">
        <v>0</v>
      </c>
    </row>
    <row r="306" spans="1:7" ht="15">
      <c r="A306" s="88" t="s">
        <v>1385</v>
      </c>
      <c r="B306" s="81">
        <v>4</v>
      </c>
      <c r="C306" s="108">
        <v>0.0157523976488137</v>
      </c>
      <c r="D306" s="81" t="s">
        <v>1321</v>
      </c>
      <c r="E306" s="81" t="b">
        <v>0</v>
      </c>
      <c r="F306" s="81" t="b">
        <v>0</v>
      </c>
      <c r="G306" s="81" t="b">
        <v>0</v>
      </c>
    </row>
    <row r="307" spans="1:7" ht="15">
      <c r="A307" s="88" t="s">
        <v>1365</v>
      </c>
      <c r="B307" s="81">
        <v>3</v>
      </c>
      <c r="C307" s="108">
        <v>0.01380800148035974</v>
      </c>
      <c r="D307" s="81" t="s">
        <v>1321</v>
      </c>
      <c r="E307" s="81" t="b">
        <v>0</v>
      </c>
      <c r="F307" s="81" t="b">
        <v>0</v>
      </c>
      <c r="G307" s="81" t="b">
        <v>0</v>
      </c>
    </row>
    <row r="308" spans="1:7" ht="15">
      <c r="A308" s="88" t="s">
        <v>1412</v>
      </c>
      <c r="B308" s="81">
        <v>3</v>
      </c>
      <c r="C308" s="108">
        <v>0.016617968380184443</v>
      </c>
      <c r="D308" s="81" t="s">
        <v>1321</v>
      </c>
      <c r="E308" s="81" t="b">
        <v>0</v>
      </c>
      <c r="F308" s="81" t="b">
        <v>0</v>
      </c>
      <c r="G308" s="81" t="b">
        <v>0</v>
      </c>
    </row>
    <row r="309" spans="1:7" ht="15">
      <c r="A309" s="88" t="s">
        <v>1403</v>
      </c>
      <c r="B309" s="81">
        <v>3</v>
      </c>
      <c r="C309" s="108">
        <v>0.01380800148035974</v>
      </c>
      <c r="D309" s="81" t="s">
        <v>1321</v>
      </c>
      <c r="E309" s="81" t="b">
        <v>0</v>
      </c>
      <c r="F309" s="81" t="b">
        <v>0</v>
      </c>
      <c r="G309" s="81" t="b">
        <v>0</v>
      </c>
    </row>
    <row r="310" spans="1:7" ht="15">
      <c r="A310" s="88" t="s">
        <v>1442</v>
      </c>
      <c r="B310" s="81">
        <v>3</v>
      </c>
      <c r="C310" s="108">
        <v>0.016617968380184443</v>
      </c>
      <c r="D310" s="81" t="s">
        <v>1321</v>
      </c>
      <c r="E310" s="81" t="b">
        <v>1</v>
      </c>
      <c r="F310" s="81" t="b">
        <v>0</v>
      </c>
      <c r="G310" s="81" t="b">
        <v>0</v>
      </c>
    </row>
    <row r="311" spans="1:7" ht="15">
      <c r="A311" s="88" t="s">
        <v>1421</v>
      </c>
      <c r="B311" s="81">
        <v>2</v>
      </c>
      <c r="C311" s="108">
        <v>0.014281092349172405</v>
      </c>
      <c r="D311" s="81" t="s">
        <v>1321</v>
      </c>
      <c r="E311" s="81" t="b">
        <v>0</v>
      </c>
      <c r="F311" s="81" t="b">
        <v>0</v>
      </c>
      <c r="G311" s="81" t="b">
        <v>0</v>
      </c>
    </row>
    <row r="312" spans="1:7" ht="15">
      <c r="A312" s="88" t="s">
        <v>1517</v>
      </c>
      <c r="B312" s="81">
        <v>2</v>
      </c>
      <c r="C312" s="108">
        <v>0.011078645586789629</v>
      </c>
      <c r="D312" s="81" t="s">
        <v>1321</v>
      </c>
      <c r="E312" s="81" t="b">
        <v>0</v>
      </c>
      <c r="F312" s="81" t="b">
        <v>0</v>
      </c>
      <c r="G312" s="81" t="b">
        <v>0</v>
      </c>
    </row>
    <row r="313" spans="1:7" ht="15">
      <c r="A313" s="88" t="s">
        <v>1359</v>
      </c>
      <c r="B313" s="81">
        <v>2</v>
      </c>
      <c r="C313" s="108">
        <v>0.011078645586789629</v>
      </c>
      <c r="D313" s="81" t="s">
        <v>1321</v>
      </c>
      <c r="E313" s="81" t="b">
        <v>1</v>
      </c>
      <c r="F313" s="81" t="b">
        <v>0</v>
      </c>
      <c r="G313" s="81" t="b">
        <v>0</v>
      </c>
    </row>
    <row r="314" spans="1:7" ht="15">
      <c r="A314" s="88" t="s">
        <v>1426</v>
      </c>
      <c r="B314" s="81">
        <v>2</v>
      </c>
      <c r="C314" s="108">
        <v>0.011078645586789629</v>
      </c>
      <c r="D314" s="81" t="s">
        <v>1321</v>
      </c>
      <c r="E314" s="81" t="b">
        <v>0</v>
      </c>
      <c r="F314" s="81" t="b">
        <v>0</v>
      </c>
      <c r="G314" s="81" t="b">
        <v>0</v>
      </c>
    </row>
    <row r="315" spans="1:7" ht="15">
      <c r="A315" s="88" t="s">
        <v>1519</v>
      </c>
      <c r="B315" s="81">
        <v>2</v>
      </c>
      <c r="C315" s="108">
        <v>0.011078645586789629</v>
      </c>
      <c r="D315" s="81" t="s">
        <v>1321</v>
      </c>
      <c r="E315" s="81" t="b">
        <v>0</v>
      </c>
      <c r="F315" s="81" t="b">
        <v>0</v>
      </c>
      <c r="G315" s="81" t="b">
        <v>0</v>
      </c>
    </row>
    <row r="316" spans="1:7" ht="15">
      <c r="A316" s="88" t="s">
        <v>1451</v>
      </c>
      <c r="B316" s="81">
        <v>2</v>
      </c>
      <c r="C316" s="108">
        <v>0.014281092349172405</v>
      </c>
      <c r="D316" s="81" t="s">
        <v>1321</v>
      </c>
      <c r="E316" s="81" t="b">
        <v>0</v>
      </c>
      <c r="F316" s="81" t="b">
        <v>1</v>
      </c>
      <c r="G316" s="81" t="b">
        <v>0</v>
      </c>
    </row>
    <row r="317" spans="1:7" ht="15">
      <c r="A317" s="88" t="s">
        <v>1492</v>
      </c>
      <c r="B317" s="81">
        <v>2</v>
      </c>
      <c r="C317" s="108">
        <v>0.014281092349172405</v>
      </c>
      <c r="D317" s="81" t="s">
        <v>1321</v>
      </c>
      <c r="E317" s="81" t="b">
        <v>0</v>
      </c>
      <c r="F317" s="81" t="b">
        <v>1</v>
      </c>
      <c r="G317" s="81" t="b">
        <v>0</v>
      </c>
    </row>
    <row r="318" spans="1:7" ht="15">
      <c r="A318" s="88" t="s">
        <v>1388</v>
      </c>
      <c r="B318" s="81">
        <v>2</v>
      </c>
      <c r="C318" s="108">
        <v>0.014281092349172405</v>
      </c>
      <c r="D318" s="81" t="s">
        <v>1321</v>
      </c>
      <c r="E318" s="81" t="b">
        <v>0</v>
      </c>
      <c r="F318" s="81" t="b">
        <v>0</v>
      </c>
      <c r="G318" s="81" t="b">
        <v>0</v>
      </c>
    </row>
    <row r="319" spans="1:7" ht="15">
      <c r="A319" s="88" t="s">
        <v>1362</v>
      </c>
      <c r="B319" s="81">
        <v>2</v>
      </c>
      <c r="C319" s="108">
        <v>0.011078645586789629</v>
      </c>
      <c r="D319" s="81" t="s">
        <v>1321</v>
      </c>
      <c r="E319" s="81" t="b">
        <v>0</v>
      </c>
      <c r="F319" s="81" t="b">
        <v>0</v>
      </c>
      <c r="G319" s="81" t="b">
        <v>0</v>
      </c>
    </row>
    <row r="320" spans="1:7" ht="15">
      <c r="A320" s="88" t="s">
        <v>1478</v>
      </c>
      <c r="B320" s="81">
        <v>2</v>
      </c>
      <c r="C320" s="108">
        <v>0.014281092349172405</v>
      </c>
      <c r="D320" s="81" t="s">
        <v>1321</v>
      </c>
      <c r="E320" s="81" t="b">
        <v>0</v>
      </c>
      <c r="F320" s="81" t="b">
        <v>0</v>
      </c>
      <c r="G320" s="81" t="b">
        <v>0</v>
      </c>
    </row>
    <row r="321" spans="1:7" ht="15">
      <c r="A321" s="88" t="s">
        <v>1466</v>
      </c>
      <c r="B321" s="81">
        <v>2</v>
      </c>
      <c r="C321" s="108">
        <v>0.011078645586789629</v>
      </c>
      <c r="D321" s="81" t="s">
        <v>1321</v>
      </c>
      <c r="E321" s="81" t="b">
        <v>0</v>
      </c>
      <c r="F321" s="81" t="b">
        <v>1</v>
      </c>
      <c r="G321" s="81" t="b">
        <v>0</v>
      </c>
    </row>
    <row r="322" spans="1:7" ht="15">
      <c r="A322" s="88" t="s">
        <v>1498</v>
      </c>
      <c r="B322" s="81">
        <v>2</v>
      </c>
      <c r="C322" s="108">
        <v>0.011078645586789629</v>
      </c>
      <c r="D322" s="81" t="s">
        <v>1321</v>
      </c>
      <c r="E322" s="81" t="b">
        <v>0</v>
      </c>
      <c r="F322" s="81" t="b">
        <v>0</v>
      </c>
      <c r="G322" s="81" t="b">
        <v>0</v>
      </c>
    </row>
    <row r="323" spans="1:7" ht="15">
      <c r="A323" s="88" t="s">
        <v>1383</v>
      </c>
      <c r="B323" s="81">
        <v>2</v>
      </c>
      <c r="C323" s="108">
        <v>0.011078645586789629</v>
      </c>
      <c r="D323" s="81" t="s">
        <v>1321</v>
      </c>
      <c r="E323" s="81" t="b">
        <v>0</v>
      </c>
      <c r="F323" s="81" t="b">
        <v>0</v>
      </c>
      <c r="G323" s="81" t="b">
        <v>0</v>
      </c>
    </row>
    <row r="324" spans="1:7" ht="15">
      <c r="A324" s="88" t="s">
        <v>1413</v>
      </c>
      <c r="B324" s="81">
        <v>2</v>
      </c>
      <c r="C324" s="108">
        <v>0.011078645586789629</v>
      </c>
      <c r="D324" s="81" t="s">
        <v>1321</v>
      </c>
      <c r="E324" s="81" t="b">
        <v>0</v>
      </c>
      <c r="F324" s="81" t="b">
        <v>0</v>
      </c>
      <c r="G324" s="81" t="b">
        <v>0</v>
      </c>
    </row>
    <row r="325" spans="1:7" ht="15">
      <c r="A325" s="88" t="s">
        <v>1502</v>
      </c>
      <c r="B325" s="81">
        <v>2</v>
      </c>
      <c r="C325" s="108">
        <v>0.011078645586789629</v>
      </c>
      <c r="D325" s="81" t="s">
        <v>1321</v>
      </c>
      <c r="E325" s="81" t="b">
        <v>0</v>
      </c>
      <c r="F325" s="81" t="b">
        <v>1</v>
      </c>
      <c r="G325" s="81" t="b">
        <v>0</v>
      </c>
    </row>
    <row r="326" spans="1:7" ht="15">
      <c r="A326" s="88" t="s">
        <v>1486</v>
      </c>
      <c r="B326" s="81">
        <v>2</v>
      </c>
      <c r="C326" s="108">
        <v>0.011078645586789629</v>
      </c>
      <c r="D326" s="81" t="s">
        <v>1321</v>
      </c>
      <c r="E326" s="81" t="b">
        <v>0</v>
      </c>
      <c r="F326" s="81" t="b">
        <v>0</v>
      </c>
      <c r="G326" s="81" t="b">
        <v>0</v>
      </c>
    </row>
    <row r="327" spans="1:7" ht="15">
      <c r="A327" s="88" t="s">
        <v>1443</v>
      </c>
      <c r="B327" s="81">
        <v>2</v>
      </c>
      <c r="C327" s="108">
        <v>0.014281092349172405</v>
      </c>
      <c r="D327" s="81" t="s">
        <v>1321</v>
      </c>
      <c r="E327" s="81" t="b">
        <v>0</v>
      </c>
      <c r="F327" s="81" t="b">
        <v>0</v>
      </c>
      <c r="G327" s="81" t="b">
        <v>0</v>
      </c>
    </row>
    <row r="328" spans="1:7" ht="15">
      <c r="A328" s="88" t="s">
        <v>1383</v>
      </c>
      <c r="B328" s="81">
        <v>2</v>
      </c>
      <c r="C328" s="108">
        <v>0.02094421098273882</v>
      </c>
      <c r="D328" s="81" t="s">
        <v>1323</v>
      </c>
      <c r="E328" s="81" t="b">
        <v>0</v>
      </c>
      <c r="F328" s="81" t="b">
        <v>0</v>
      </c>
      <c r="G328" s="81" t="b">
        <v>0</v>
      </c>
    </row>
    <row r="329" spans="1:7" ht="15">
      <c r="A329" s="88" t="s">
        <v>1469</v>
      </c>
      <c r="B329" s="81">
        <v>2</v>
      </c>
      <c r="C329" s="108">
        <v>0.03678789496505362</v>
      </c>
      <c r="D329" s="81" t="s">
        <v>1323</v>
      </c>
      <c r="E329" s="81" t="b">
        <v>0</v>
      </c>
      <c r="F329" s="81" t="b">
        <v>0</v>
      </c>
      <c r="G329" s="81" t="b">
        <v>0</v>
      </c>
    </row>
    <row r="330" spans="1:7" ht="15">
      <c r="A330" s="88" t="s">
        <v>1389</v>
      </c>
      <c r="B330" s="81">
        <v>4</v>
      </c>
      <c r="C330" s="108">
        <v>0.03460347901495979</v>
      </c>
      <c r="D330" s="81" t="s">
        <v>1324</v>
      </c>
      <c r="E330" s="81" t="b">
        <v>0</v>
      </c>
      <c r="F330" s="81" t="b">
        <v>0</v>
      </c>
      <c r="G330" s="81" t="b">
        <v>0</v>
      </c>
    </row>
    <row r="331" spans="1:7" ht="15">
      <c r="A331" s="88" t="s">
        <v>1414</v>
      </c>
      <c r="B331" s="81">
        <v>2</v>
      </c>
      <c r="C331" s="108">
        <v>0.03039000018852256</v>
      </c>
      <c r="D331" s="81" t="s">
        <v>1324</v>
      </c>
      <c r="E331" s="81" t="b">
        <v>0</v>
      </c>
      <c r="F331" s="81" t="b">
        <v>0</v>
      </c>
      <c r="G331" s="81" t="b">
        <v>0</v>
      </c>
    </row>
    <row r="332" spans="1:7" ht="15">
      <c r="A332" s="88" t="s">
        <v>1504</v>
      </c>
      <c r="B332" s="81">
        <v>2</v>
      </c>
      <c r="C332" s="108">
        <v>0.03039000018852256</v>
      </c>
      <c r="D332" s="81" t="s">
        <v>1324</v>
      </c>
      <c r="E332" s="81" t="b">
        <v>0</v>
      </c>
      <c r="F332" s="81" t="b">
        <v>0</v>
      </c>
      <c r="G332" s="81" t="b">
        <v>0</v>
      </c>
    </row>
    <row r="333" spans="1:7" ht="15">
      <c r="A333" s="88" t="s">
        <v>1162</v>
      </c>
      <c r="B333" s="81">
        <v>2</v>
      </c>
      <c r="C333" s="108">
        <v>0.017301739507479895</v>
      </c>
      <c r="D333" s="81" t="s">
        <v>1324</v>
      </c>
      <c r="E333" s="81" t="b">
        <v>1</v>
      </c>
      <c r="F333" s="81" t="b">
        <v>0</v>
      </c>
      <c r="G333" s="81" t="b">
        <v>0</v>
      </c>
    </row>
    <row r="334" spans="1:7" ht="15">
      <c r="A334" s="88" t="s">
        <v>1452</v>
      </c>
      <c r="B334" s="81">
        <v>2</v>
      </c>
      <c r="C334" s="108">
        <v>0.03039000018852256</v>
      </c>
      <c r="D334" s="81" t="s">
        <v>1324</v>
      </c>
      <c r="E334" s="81" t="b">
        <v>0</v>
      </c>
      <c r="F334" s="81" t="b">
        <v>0</v>
      </c>
      <c r="G334" s="81" t="b">
        <v>0</v>
      </c>
    </row>
    <row r="335" spans="1:7" ht="15">
      <c r="A335" s="88" t="s">
        <v>1508</v>
      </c>
      <c r="B335" s="81">
        <v>2</v>
      </c>
      <c r="C335" s="108">
        <v>0.03039000018852256</v>
      </c>
      <c r="D335" s="81" t="s">
        <v>1324</v>
      </c>
      <c r="E335" s="81" t="b">
        <v>0</v>
      </c>
      <c r="F335" s="81" t="b">
        <v>0</v>
      </c>
      <c r="G335" s="81" t="b">
        <v>0</v>
      </c>
    </row>
    <row r="336" spans="1:7" ht="15">
      <c r="A336" s="88" t="s">
        <v>1476</v>
      </c>
      <c r="B336" s="81">
        <v>2</v>
      </c>
      <c r="C336" s="108">
        <v>0.03039000018852256</v>
      </c>
      <c r="D336" s="81" t="s">
        <v>1324</v>
      </c>
      <c r="E336" s="81" t="b">
        <v>0</v>
      </c>
      <c r="F336" s="81" t="b">
        <v>0</v>
      </c>
      <c r="G336" s="81" t="b">
        <v>0</v>
      </c>
    </row>
    <row r="337" spans="1:7" ht="15">
      <c r="A337" s="88" t="s">
        <v>1456</v>
      </c>
      <c r="B337" s="81">
        <v>2</v>
      </c>
      <c r="C337" s="108">
        <v>0.03039000018852256</v>
      </c>
      <c r="D337" s="81" t="s">
        <v>1324</v>
      </c>
      <c r="E337" s="81" t="b">
        <v>0</v>
      </c>
      <c r="F337" s="81" t="b">
        <v>0</v>
      </c>
      <c r="G337" s="81" t="b">
        <v>0</v>
      </c>
    </row>
    <row r="338" spans="1:7" ht="15">
      <c r="A338" s="88" t="s">
        <v>1496</v>
      </c>
      <c r="B338" s="81">
        <v>2</v>
      </c>
      <c r="C338" s="108">
        <v>0.022011407381960155</v>
      </c>
      <c r="D338" s="81" t="s">
        <v>1325</v>
      </c>
      <c r="E338" s="81" t="b">
        <v>0</v>
      </c>
      <c r="F338" s="81" t="b">
        <v>0</v>
      </c>
      <c r="G338" s="81" t="b">
        <v>0</v>
      </c>
    </row>
    <row r="339" spans="1:7" ht="15">
      <c r="A339" s="88" t="s">
        <v>1361</v>
      </c>
      <c r="B339" s="81">
        <v>2</v>
      </c>
      <c r="C339" s="108">
        <v>0.022011407381960155</v>
      </c>
      <c r="D339" s="81" t="s">
        <v>1325</v>
      </c>
      <c r="E339" s="81" t="b">
        <v>0</v>
      </c>
      <c r="F339" s="81" t="b">
        <v>0</v>
      </c>
      <c r="G339" s="81" t="b">
        <v>0</v>
      </c>
    </row>
    <row r="340" spans="1:7" ht="15">
      <c r="A340" s="88" t="s">
        <v>1491</v>
      </c>
      <c r="B340" s="81">
        <v>2</v>
      </c>
      <c r="C340" s="108">
        <v>0.059640156839957804</v>
      </c>
      <c r="D340" s="81" t="s">
        <v>1325</v>
      </c>
      <c r="E340" s="81" t="b">
        <v>0</v>
      </c>
      <c r="F340" s="81" t="b">
        <v>0</v>
      </c>
      <c r="G340" s="81" t="b">
        <v>0</v>
      </c>
    </row>
    <row r="341" spans="1:7" ht="15">
      <c r="A341" s="88" t="s">
        <v>1458</v>
      </c>
      <c r="B341" s="81">
        <v>2</v>
      </c>
      <c r="C341" s="108">
        <v>0</v>
      </c>
      <c r="D341" s="81" t="s">
        <v>1331</v>
      </c>
      <c r="E341" s="81" t="b">
        <v>0</v>
      </c>
      <c r="F341" s="81" t="b">
        <v>0</v>
      </c>
      <c r="G341" s="81" t="b">
        <v>0</v>
      </c>
    </row>
    <row r="342" spans="1:7" ht="15">
      <c r="A342" s="88" t="s">
        <v>1475</v>
      </c>
      <c r="B342" s="81">
        <v>2</v>
      </c>
      <c r="C342" s="108">
        <v>0</v>
      </c>
      <c r="D342" s="81" t="s">
        <v>1331</v>
      </c>
      <c r="E342" s="81" t="b">
        <v>0</v>
      </c>
      <c r="F342" s="81" t="b">
        <v>0</v>
      </c>
      <c r="G342" s="81" t="b">
        <v>0</v>
      </c>
    </row>
    <row r="343" spans="1:7" ht="15">
      <c r="A343" s="88" t="s">
        <v>1495</v>
      </c>
      <c r="B343" s="81">
        <v>2</v>
      </c>
      <c r="C343" s="108">
        <v>0</v>
      </c>
      <c r="D343" s="81" t="s">
        <v>1331</v>
      </c>
      <c r="E343" s="81" t="b">
        <v>0</v>
      </c>
      <c r="F343" s="81" t="b">
        <v>0</v>
      </c>
      <c r="G34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4931-05A8-4FE3-A4B0-42948CC195FD}">
  <dimension ref="A1:L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1531</v>
      </c>
      <c r="B1" s="13" t="s">
        <v>1532</v>
      </c>
      <c r="C1" s="13" t="s">
        <v>1522</v>
      </c>
      <c r="D1" s="13" t="s">
        <v>1526</v>
      </c>
      <c r="E1" s="13" t="s">
        <v>1533</v>
      </c>
      <c r="F1" s="13" t="s">
        <v>144</v>
      </c>
      <c r="G1" s="13" t="s">
        <v>1534</v>
      </c>
      <c r="H1" s="13" t="s">
        <v>1535</v>
      </c>
      <c r="I1" s="13" t="s">
        <v>1536</v>
      </c>
      <c r="J1" s="13" t="s">
        <v>1537</v>
      </c>
      <c r="K1" s="13" t="s">
        <v>1538</v>
      </c>
      <c r="L1" s="13" t="s">
        <v>1539</v>
      </c>
    </row>
    <row r="2" spans="1:12" ht="15">
      <c r="A2" s="87" t="s">
        <v>1365</v>
      </c>
      <c r="B2" s="87" t="s">
        <v>1356</v>
      </c>
      <c r="C2" s="87">
        <v>6</v>
      </c>
      <c r="D2" s="109">
        <v>0.008252054628883714</v>
      </c>
      <c r="E2" s="109">
        <v>1.6524075191391139</v>
      </c>
      <c r="F2" s="87" t="s">
        <v>1527</v>
      </c>
      <c r="G2" s="87" t="b">
        <v>0</v>
      </c>
      <c r="H2" s="87" t="b">
        <v>0</v>
      </c>
      <c r="I2" s="87" t="b">
        <v>0</v>
      </c>
      <c r="J2" s="87" t="b">
        <v>0</v>
      </c>
      <c r="K2" s="87" t="b">
        <v>0</v>
      </c>
      <c r="L2" s="87" t="b">
        <v>0</v>
      </c>
    </row>
    <row r="3" spans="1:12" ht="15">
      <c r="A3" s="88" t="s">
        <v>1162</v>
      </c>
      <c r="B3" s="87" t="s">
        <v>1359</v>
      </c>
      <c r="C3" s="81">
        <v>5</v>
      </c>
      <c r="D3" s="108">
        <v>0.005966003037959925</v>
      </c>
      <c r="E3" s="108">
        <v>1.362372907776596</v>
      </c>
      <c r="F3" s="81" t="s">
        <v>1527</v>
      </c>
      <c r="G3" s="81" t="b">
        <v>1</v>
      </c>
      <c r="H3" s="81" t="b">
        <v>0</v>
      </c>
      <c r="I3" s="81" t="b">
        <v>0</v>
      </c>
      <c r="J3" s="81" t="b">
        <v>1</v>
      </c>
      <c r="K3" s="81" t="b">
        <v>0</v>
      </c>
      <c r="L3" s="81" t="b">
        <v>0</v>
      </c>
    </row>
    <row r="4" spans="1:12" ht="15">
      <c r="A4" s="88" t="s">
        <v>1385</v>
      </c>
      <c r="B4" s="87" t="s">
        <v>1354</v>
      </c>
      <c r="C4" s="81">
        <v>5</v>
      </c>
      <c r="D4" s="108">
        <v>0.005966003037959925</v>
      </c>
      <c r="E4" s="108">
        <v>1.7315887651867388</v>
      </c>
      <c r="F4" s="81" t="s">
        <v>1527</v>
      </c>
      <c r="G4" s="81" t="b">
        <v>0</v>
      </c>
      <c r="H4" s="81" t="b">
        <v>0</v>
      </c>
      <c r="I4" s="81" t="b">
        <v>0</v>
      </c>
      <c r="J4" s="81" t="b">
        <v>0</v>
      </c>
      <c r="K4" s="81" t="b">
        <v>0</v>
      </c>
      <c r="L4" s="81" t="b">
        <v>0</v>
      </c>
    </row>
    <row r="5" spans="1:12" ht="15">
      <c r="A5" s="88" t="s">
        <v>1392</v>
      </c>
      <c r="B5" s="87" t="s">
        <v>1401</v>
      </c>
      <c r="C5" s="81">
        <v>4</v>
      </c>
      <c r="D5" s="108">
        <v>0.005091061914795054</v>
      </c>
      <c r="E5" s="108">
        <v>2.4305587695227575</v>
      </c>
      <c r="F5" s="81" t="s">
        <v>1527</v>
      </c>
      <c r="G5" s="81" t="b">
        <v>0</v>
      </c>
      <c r="H5" s="81" t="b">
        <v>0</v>
      </c>
      <c r="I5" s="81" t="b">
        <v>0</v>
      </c>
      <c r="J5" s="81" t="b">
        <v>0</v>
      </c>
      <c r="K5" s="81" t="b">
        <v>0</v>
      </c>
      <c r="L5" s="81" t="b">
        <v>0</v>
      </c>
    </row>
    <row r="6" spans="1:12" ht="15">
      <c r="A6" s="88" t="s">
        <v>1384</v>
      </c>
      <c r="B6" s="87" t="s">
        <v>1371</v>
      </c>
      <c r="C6" s="81">
        <v>4</v>
      </c>
      <c r="D6" s="108">
        <v>0.005501369752589143</v>
      </c>
      <c r="E6" s="108">
        <v>2.0906107078284064</v>
      </c>
      <c r="F6" s="81" t="s">
        <v>1527</v>
      </c>
      <c r="G6" s="81" t="b">
        <v>0</v>
      </c>
      <c r="H6" s="81" t="b">
        <v>0</v>
      </c>
      <c r="I6" s="81" t="b">
        <v>0</v>
      </c>
      <c r="J6" s="81" t="b">
        <v>1</v>
      </c>
      <c r="K6" s="81" t="b">
        <v>0</v>
      </c>
      <c r="L6" s="81" t="b">
        <v>0</v>
      </c>
    </row>
    <row r="7" spans="1:12" ht="15">
      <c r="A7" s="88" t="s">
        <v>1363</v>
      </c>
      <c r="B7" s="87" t="s">
        <v>1125</v>
      </c>
      <c r="C7" s="81">
        <v>4</v>
      </c>
      <c r="D7" s="108">
        <v>0.005091061914795054</v>
      </c>
      <c r="E7" s="108">
        <v>1.5854607295085006</v>
      </c>
      <c r="F7" s="81" t="s">
        <v>1527</v>
      </c>
      <c r="G7" s="81" t="b">
        <v>0</v>
      </c>
      <c r="H7" s="81" t="b">
        <v>0</v>
      </c>
      <c r="I7" s="81" t="b">
        <v>0</v>
      </c>
      <c r="J7" s="81" t="b">
        <v>0</v>
      </c>
      <c r="K7" s="81" t="b">
        <v>0</v>
      </c>
      <c r="L7" s="81" t="b">
        <v>0</v>
      </c>
    </row>
    <row r="8" spans="1:12" ht="15">
      <c r="A8" s="88" t="s">
        <v>1356</v>
      </c>
      <c r="B8" s="87" t="s">
        <v>1168</v>
      </c>
      <c r="C8" s="81">
        <v>3</v>
      </c>
      <c r="D8" s="108">
        <v>0.004126027314441857</v>
      </c>
      <c r="E8" s="108">
        <v>1.1031998351364272</v>
      </c>
      <c r="F8" s="81" t="s">
        <v>1527</v>
      </c>
      <c r="G8" s="81" t="b">
        <v>0</v>
      </c>
      <c r="H8" s="81" t="b">
        <v>0</v>
      </c>
      <c r="I8" s="81" t="b">
        <v>0</v>
      </c>
      <c r="J8" s="81" t="b">
        <v>0</v>
      </c>
      <c r="K8" s="81" t="b">
        <v>0</v>
      </c>
      <c r="L8" s="81" t="b">
        <v>0</v>
      </c>
    </row>
    <row r="9" spans="1:12" ht="15">
      <c r="A9" s="88" t="s">
        <v>1374</v>
      </c>
      <c r="B9" s="87" t="s">
        <v>1364</v>
      </c>
      <c r="C9" s="81">
        <v>3</v>
      </c>
      <c r="D9" s="108">
        <v>0.005301202818677479</v>
      </c>
      <c r="E9" s="108">
        <v>1.8864907251724818</v>
      </c>
      <c r="F9" s="81" t="s">
        <v>1527</v>
      </c>
      <c r="G9" s="81" t="b">
        <v>0</v>
      </c>
      <c r="H9" s="81" t="b">
        <v>0</v>
      </c>
      <c r="I9" s="81" t="b">
        <v>0</v>
      </c>
      <c r="J9" s="81" t="b">
        <v>0</v>
      </c>
      <c r="K9" s="81" t="b">
        <v>0</v>
      </c>
      <c r="L9" s="81" t="b">
        <v>0</v>
      </c>
    </row>
    <row r="10" spans="1:12" ht="15">
      <c r="A10" s="88" t="s">
        <v>1162</v>
      </c>
      <c r="B10" s="87" t="s">
        <v>1361</v>
      </c>
      <c r="C10" s="81">
        <v>3</v>
      </c>
      <c r="D10" s="108">
        <v>0.004126027314441857</v>
      </c>
      <c r="E10" s="108">
        <v>1.3002250010277514</v>
      </c>
      <c r="F10" s="81" t="s">
        <v>1527</v>
      </c>
      <c r="G10" s="81" t="b">
        <v>1</v>
      </c>
      <c r="H10" s="81" t="b">
        <v>0</v>
      </c>
      <c r="I10" s="81" t="b">
        <v>0</v>
      </c>
      <c r="J10" s="81" t="b">
        <v>0</v>
      </c>
      <c r="K10" s="81" t="b">
        <v>0</v>
      </c>
      <c r="L10" s="81" t="b">
        <v>0</v>
      </c>
    </row>
    <row r="11" spans="1:12" ht="15">
      <c r="A11" s="88" t="s">
        <v>1430</v>
      </c>
      <c r="B11" s="87" t="s">
        <v>1427</v>
      </c>
      <c r="C11" s="81">
        <v>3</v>
      </c>
      <c r="D11" s="108">
        <v>0.004126027314441857</v>
      </c>
      <c r="E11" s="108">
        <v>2.5554975061310574</v>
      </c>
      <c r="F11" s="81" t="s">
        <v>1527</v>
      </c>
      <c r="G11" s="81" t="b">
        <v>0</v>
      </c>
      <c r="H11" s="81" t="b">
        <v>0</v>
      </c>
      <c r="I11" s="81" t="b">
        <v>0</v>
      </c>
      <c r="J11" s="81" t="b">
        <v>0</v>
      </c>
      <c r="K11" s="81" t="b">
        <v>0</v>
      </c>
      <c r="L11" s="81" t="b">
        <v>0</v>
      </c>
    </row>
    <row r="12" spans="1:12" ht="15">
      <c r="A12" s="88" t="s">
        <v>1364</v>
      </c>
      <c r="B12" s="87" t="s">
        <v>1374</v>
      </c>
      <c r="C12" s="81">
        <v>3</v>
      </c>
      <c r="D12" s="108">
        <v>0.005301202818677479</v>
      </c>
      <c r="E12" s="108">
        <v>1.8565275017950387</v>
      </c>
      <c r="F12" s="81" t="s">
        <v>1527</v>
      </c>
      <c r="G12" s="81" t="b">
        <v>0</v>
      </c>
      <c r="H12" s="81" t="b">
        <v>0</v>
      </c>
      <c r="I12" s="81" t="b">
        <v>0</v>
      </c>
      <c r="J12" s="81" t="b">
        <v>0</v>
      </c>
      <c r="K12" s="81" t="b">
        <v>0</v>
      </c>
      <c r="L12" s="81" t="b">
        <v>0</v>
      </c>
    </row>
    <row r="13" spans="1:12" ht="15">
      <c r="A13" s="88" t="s">
        <v>1381</v>
      </c>
      <c r="B13" s="87" t="s">
        <v>1380</v>
      </c>
      <c r="C13" s="81">
        <v>3</v>
      </c>
      <c r="D13" s="108">
        <v>0.004126027314441857</v>
      </c>
      <c r="E13" s="108">
        <v>2.1118000068983447</v>
      </c>
      <c r="F13" s="81" t="s">
        <v>1527</v>
      </c>
      <c r="G13" s="81" t="b">
        <v>1</v>
      </c>
      <c r="H13" s="81" t="b">
        <v>0</v>
      </c>
      <c r="I13" s="81" t="b">
        <v>0</v>
      </c>
      <c r="J13" s="81" t="b">
        <v>0</v>
      </c>
      <c r="K13" s="81" t="b">
        <v>0</v>
      </c>
      <c r="L13" s="81" t="b">
        <v>0</v>
      </c>
    </row>
    <row r="14" spans="1:12" ht="15">
      <c r="A14" s="88" t="s">
        <v>1355</v>
      </c>
      <c r="B14" s="87" t="s">
        <v>1361</v>
      </c>
      <c r="C14" s="81">
        <v>3</v>
      </c>
      <c r="D14" s="108">
        <v>0.004126027314441857</v>
      </c>
      <c r="E14" s="108">
        <v>1.3794062470753763</v>
      </c>
      <c r="F14" s="81" t="s">
        <v>1527</v>
      </c>
      <c r="G14" s="81" t="b">
        <v>1</v>
      </c>
      <c r="H14" s="81" t="b">
        <v>0</v>
      </c>
      <c r="I14" s="81" t="b">
        <v>0</v>
      </c>
      <c r="J14" s="81" t="b">
        <v>0</v>
      </c>
      <c r="K14" s="81" t="b">
        <v>0</v>
      </c>
      <c r="L14" s="81" t="b">
        <v>0</v>
      </c>
    </row>
    <row r="15" spans="1:12" ht="15">
      <c r="A15" s="88" t="s">
        <v>1358</v>
      </c>
      <c r="B15" s="87" t="s">
        <v>1168</v>
      </c>
      <c r="C15" s="81">
        <v>3</v>
      </c>
      <c r="D15" s="108">
        <v>0.004126027314441857</v>
      </c>
      <c r="E15" s="108">
        <v>1.2792910941921083</v>
      </c>
      <c r="F15" s="81" t="s">
        <v>1527</v>
      </c>
      <c r="G15" s="81" t="b">
        <v>1</v>
      </c>
      <c r="H15" s="81" t="b">
        <v>0</v>
      </c>
      <c r="I15" s="81" t="b">
        <v>0</v>
      </c>
      <c r="J15" s="81" t="b">
        <v>0</v>
      </c>
      <c r="K15" s="81" t="b">
        <v>0</v>
      </c>
      <c r="L15" s="81" t="b">
        <v>0</v>
      </c>
    </row>
    <row r="16" spans="1:12" ht="15">
      <c r="A16" s="88" t="s">
        <v>1401</v>
      </c>
      <c r="B16" s="87" t="s">
        <v>1369</v>
      </c>
      <c r="C16" s="81">
        <v>3</v>
      </c>
      <c r="D16" s="108">
        <v>0.004126027314441857</v>
      </c>
      <c r="E16" s="108">
        <v>2.187520720836463</v>
      </c>
      <c r="F16" s="81" t="s">
        <v>1527</v>
      </c>
      <c r="G16" s="81" t="b">
        <v>0</v>
      </c>
      <c r="H16" s="81" t="b">
        <v>0</v>
      </c>
      <c r="I16" s="81" t="b">
        <v>0</v>
      </c>
      <c r="J16" s="81" t="b">
        <v>0</v>
      </c>
      <c r="K16" s="81" t="b">
        <v>0</v>
      </c>
      <c r="L16" s="81" t="b">
        <v>0</v>
      </c>
    </row>
    <row r="17" spans="1:12" ht="15">
      <c r="A17" s="88" t="s">
        <v>1355</v>
      </c>
      <c r="B17" s="87" t="s">
        <v>1359</v>
      </c>
      <c r="C17" s="81">
        <v>2</v>
      </c>
      <c r="D17" s="108">
        <v>0.00303983308492459</v>
      </c>
      <c r="E17" s="108">
        <v>1.043614145152183</v>
      </c>
      <c r="F17" s="81" t="s">
        <v>1527</v>
      </c>
      <c r="G17" s="81" t="b">
        <v>1</v>
      </c>
      <c r="H17" s="81" t="b">
        <v>0</v>
      </c>
      <c r="I17" s="81" t="b">
        <v>0</v>
      </c>
      <c r="J17" s="81" t="b">
        <v>1</v>
      </c>
      <c r="K17" s="81" t="b">
        <v>0</v>
      </c>
      <c r="L17" s="81" t="b">
        <v>0</v>
      </c>
    </row>
    <row r="18" spans="1:12" ht="15">
      <c r="A18" s="88" t="s">
        <v>1361</v>
      </c>
      <c r="B18" s="87" t="s">
        <v>1363</v>
      </c>
      <c r="C18" s="81">
        <v>2</v>
      </c>
      <c r="D18" s="108">
        <v>0.00303983308492459</v>
      </c>
      <c r="E18" s="108">
        <v>1.4763162600834328</v>
      </c>
      <c r="F18" s="81" t="s">
        <v>1527</v>
      </c>
      <c r="G18" s="81" t="b">
        <v>0</v>
      </c>
      <c r="H18" s="81" t="b">
        <v>0</v>
      </c>
      <c r="I18" s="81" t="b">
        <v>0</v>
      </c>
      <c r="J18" s="81" t="b">
        <v>0</v>
      </c>
      <c r="K18" s="81" t="b">
        <v>0</v>
      </c>
      <c r="L18" s="81" t="b">
        <v>0</v>
      </c>
    </row>
    <row r="19" spans="1:12" ht="15">
      <c r="A19" s="88" t="s">
        <v>1370</v>
      </c>
      <c r="B19" s="87" t="s">
        <v>1356</v>
      </c>
      <c r="C19" s="81">
        <v>2</v>
      </c>
      <c r="D19" s="108">
        <v>0.00303983308492459</v>
      </c>
      <c r="E19" s="108">
        <v>1.2844307338445193</v>
      </c>
      <c r="F19" s="81" t="s">
        <v>1527</v>
      </c>
      <c r="G19" s="81" t="b">
        <v>0</v>
      </c>
      <c r="H19" s="81" t="b">
        <v>0</v>
      </c>
      <c r="I19" s="81" t="b">
        <v>0</v>
      </c>
      <c r="J19" s="81" t="b">
        <v>0</v>
      </c>
      <c r="K19" s="81" t="b">
        <v>0</v>
      </c>
      <c r="L19" s="81" t="b">
        <v>0</v>
      </c>
    </row>
    <row r="20" spans="1:12" ht="15">
      <c r="A20" s="88" t="s">
        <v>1498</v>
      </c>
      <c r="B20" s="87" t="s">
        <v>1365</v>
      </c>
      <c r="C20" s="81">
        <v>2</v>
      </c>
      <c r="D20" s="108">
        <v>0.00303983308492459</v>
      </c>
      <c r="E20" s="108">
        <v>2.0783762514113953</v>
      </c>
      <c r="F20" s="81" t="s">
        <v>1527</v>
      </c>
      <c r="G20" s="81" t="b">
        <v>0</v>
      </c>
      <c r="H20" s="81" t="b">
        <v>0</v>
      </c>
      <c r="I20" s="81" t="b">
        <v>0</v>
      </c>
      <c r="J20" s="81" t="b">
        <v>0</v>
      </c>
      <c r="K20" s="81" t="b">
        <v>0</v>
      </c>
      <c r="L20" s="81" t="b">
        <v>0</v>
      </c>
    </row>
    <row r="21" spans="1:12" ht="15">
      <c r="A21" s="88" t="s">
        <v>1376</v>
      </c>
      <c r="B21" s="87" t="s">
        <v>1386</v>
      </c>
      <c r="C21" s="81">
        <v>2</v>
      </c>
      <c r="D21" s="108">
        <v>0.00303983308492459</v>
      </c>
      <c r="E21" s="108">
        <v>2.03261876085072</v>
      </c>
      <c r="F21" s="81" t="s">
        <v>1527</v>
      </c>
      <c r="G21" s="81" t="b">
        <v>0</v>
      </c>
      <c r="H21" s="81" t="b">
        <v>0</v>
      </c>
      <c r="I21" s="81" t="b">
        <v>0</v>
      </c>
      <c r="J21" s="81" t="b">
        <v>0</v>
      </c>
      <c r="K21" s="81" t="b">
        <v>0</v>
      </c>
      <c r="L21" s="81" t="b">
        <v>0</v>
      </c>
    </row>
    <row r="22" spans="1:12" ht="15">
      <c r="A22" s="88" t="s">
        <v>1414</v>
      </c>
      <c r="B22" s="87" t="s">
        <v>1389</v>
      </c>
      <c r="C22" s="81">
        <v>2</v>
      </c>
      <c r="D22" s="108">
        <v>0.003534135212451652</v>
      </c>
      <c r="E22" s="108">
        <v>2.254467510467076</v>
      </c>
      <c r="F22" s="81" t="s">
        <v>1527</v>
      </c>
      <c r="G22" s="81" t="b">
        <v>0</v>
      </c>
      <c r="H22" s="81" t="b">
        <v>0</v>
      </c>
      <c r="I22" s="81" t="b">
        <v>0</v>
      </c>
      <c r="J22" s="81" t="b">
        <v>0</v>
      </c>
      <c r="K22" s="81" t="b">
        <v>0</v>
      </c>
      <c r="L22" s="81" t="b">
        <v>0</v>
      </c>
    </row>
    <row r="23" spans="1:12" ht="15">
      <c r="A23" s="88" t="s">
        <v>1492</v>
      </c>
      <c r="B23" s="87" t="s">
        <v>1374</v>
      </c>
      <c r="C23" s="81">
        <v>2</v>
      </c>
      <c r="D23" s="108">
        <v>0.003534135212451652</v>
      </c>
      <c r="E23" s="108">
        <v>2.3336487565147013</v>
      </c>
      <c r="F23" s="81" t="s">
        <v>1527</v>
      </c>
      <c r="G23" s="81" t="b">
        <v>0</v>
      </c>
      <c r="H23" s="81" t="b">
        <v>1</v>
      </c>
      <c r="I23" s="81" t="b">
        <v>0</v>
      </c>
      <c r="J23" s="81" t="b">
        <v>0</v>
      </c>
      <c r="K23" s="81" t="b">
        <v>0</v>
      </c>
      <c r="L23" s="81" t="b">
        <v>0</v>
      </c>
    </row>
    <row r="24" spans="1:12" ht="15">
      <c r="A24" s="88" t="s">
        <v>1125</v>
      </c>
      <c r="B24" s="87" t="s">
        <v>1362</v>
      </c>
      <c r="C24" s="81">
        <v>2</v>
      </c>
      <c r="D24" s="108">
        <v>0.00303983308492459</v>
      </c>
      <c r="E24" s="108">
        <v>1.1752862644194515</v>
      </c>
      <c r="F24" s="81" t="s">
        <v>1527</v>
      </c>
      <c r="G24" s="81" t="b">
        <v>0</v>
      </c>
      <c r="H24" s="81" t="b">
        <v>0</v>
      </c>
      <c r="I24" s="81" t="b">
        <v>0</v>
      </c>
      <c r="J24" s="81" t="b">
        <v>0</v>
      </c>
      <c r="K24" s="81" t="b">
        <v>0</v>
      </c>
      <c r="L24" s="81" t="b">
        <v>0</v>
      </c>
    </row>
    <row r="25" spans="1:12" ht="15">
      <c r="A25" s="88" t="s">
        <v>1476</v>
      </c>
      <c r="B25" s="87" t="s">
        <v>1452</v>
      </c>
      <c r="C25" s="81">
        <v>2</v>
      </c>
      <c r="D25" s="108">
        <v>0.003534135212451652</v>
      </c>
      <c r="E25" s="108">
        <v>2.7315887651867388</v>
      </c>
      <c r="F25" s="81" t="s">
        <v>1527</v>
      </c>
      <c r="G25" s="81" t="b">
        <v>0</v>
      </c>
      <c r="H25" s="81" t="b">
        <v>0</v>
      </c>
      <c r="I25" s="81" t="b">
        <v>0</v>
      </c>
      <c r="J25" s="81" t="b">
        <v>0</v>
      </c>
      <c r="K25" s="81" t="b">
        <v>0</v>
      </c>
      <c r="L25" s="81" t="b">
        <v>0</v>
      </c>
    </row>
    <row r="26" spans="1:12" ht="15">
      <c r="A26" s="88" t="s">
        <v>1452</v>
      </c>
      <c r="B26" s="87" t="s">
        <v>1456</v>
      </c>
      <c r="C26" s="81">
        <v>2</v>
      </c>
      <c r="D26" s="108">
        <v>0.003534135212451652</v>
      </c>
      <c r="E26" s="108">
        <v>2.7315887651867388</v>
      </c>
      <c r="F26" s="81" t="s">
        <v>1527</v>
      </c>
      <c r="G26" s="81" t="b">
        <v>0</v>
      </c>
      <c r="H26" s="81" t="b">
        <v>0</v>
      </c>
      <c r="I26" s="81" t="b">
        <v>0</v>
      </c>
      <c r="J26" s="81" t="b">
        <v>0</v>
      </c>
      <c r="K26" s="81" t="b">
        <v>0</v>
      </c>
      <c r="L26" s="81" t="b">
        <v>0</v>
      </c>
    </row>
    <row r="27" spans="1:12" ht="15">
      <c r="A27" s="88" t="s">
        <v>1386</v>
      </c>
      <c r="B27" s="87" t="s">
        <v>1390</v>
      </c>
      <c r="C27" s="81">
        <v>2</v>
      </c>
      <c r="D27" s="108">
        <v>0.003534135212451652</v>
      </c>
      <c r="E27" s="108">
        <v>2.1295287738587763</v>
      </c>
      <c r="F27" s="81" t="s">
        <v>1527</v>
      </c>
      <c r="G27" s="81" t="b">
        <v>0</v>
      </c>
      <c r="H27" s="81" t="b">
        <v>0</v>
      </c>
      <c r="I27" s="81" t="b">
        <v>0</v>
      </c>
      <c r="J27" s="81" t="b">
        <v>0</v>
      </c>
      <c r="K27" s="81" t="b">
        <v>0</v>
      </c>
      <c r="L27" s="81" t="b">
        <v>0</v>
      </c>
    </row>
    <row r="28" spans="1:12" ht="15">
      <c r="A28" s="88" t="s">
        <v>1372</v>
      </c>
      <c r="B28" s="87" t="s">
        <v>1357</v>
      </c>
      <c r="C28" s="81">
        <v>2</v>
      </c>
      <c r="D28" s="108">
        <v>0.00303983308492459</v>
      </c>
      <c r="E28" s="108">
        <v>1.3794062470753763</v>
      </c>
      <c r="F28" s="81" t="s">
        <v>1527</v>
      </c>
      <c r="G28" s="81" t="b">
        <v>0</v>
      </c>
      <c r="H28" s="81" t="b">
        <v>0</v>
      </c>
      <c r="I28" s="81" t="b">
        <v>0</v>
      </c>
      <c r="J28" s="81" t="b">
        <v>0</v>
      </c>
      <c r="K28" s="81" t="b">
        <v>0</v>
      </c>
      <c r="L28" s="81" t="b">
        <v>0</v>
      </c>
    </row>
    <row r="29" spans="1:12" ht="15">
      <c r="A29" s="88" t="s">
        <v>1443</v>
      </c>
      <c r="B29" s="87" t="s">
        <v>1442</v>
      </c>
      <c r="C29" s="81">
        <v>2</v>
      </c>
      <c r="D29" s="108">
        <v>0.003534135212451652</v>
      </c>
      <c r="E29" s="108">
        <v>2.379406247075376</v>
      </c>
      <c r="F29" s="81" t="s">
        <v>1527</v>
      </c>
      <c r="G29" s="81" t="b">
        <v>0</v>
      </c>
      <c r="H29" s="81" t="b">
        <v>0</v>
      </c>
      <c r="I29" s="81" t="b">
        <v>0</v>
      </c>
      <c r="J29" s="81" t="b">
        <v>1</v>
      </c>
      <c r="K29" s="81" t="b">
        <v>0</v>
      </c>
      <c r="L29" s="81" t="b">
        <v>0</v>
      </c>
    </row>
    <row r="30" spans="1:12" ht="15">
      <c r="A30" s="88" t="s">
        <v>1442</v>
      </c>
      <c r="B30" s="87" t="s">
        <v>1127</v>
      </c>
      <c r="C30" s="81">
        <v>2</v>
      </c>
      <c r="D30" s="108">
        <v>0.00303983308492459</v>
      </c>
      <c r="E30" s="108">
        <v>1.742584149488202</v>
      </c>
      <c r="F30" s="81" t="s">
        <v>1527</v>
      </c>
      <c r="G30" s="81" t="b">
        <v>1</v>
      </c>
      <c r="H30" s="81" t="b">
        <v>0</v>
      </c>
      <c r="I30" s="81" t="b">
        <v>0</v>
      </c>
      <c r="J30" s="81" t="b">
        <v>0</v>
      </c>
      <c r="K30" s="81" t="b">
        <v>0</v>
      </c>
      <c r="L30" s="81" t="b">
        <v>0</v>
      </c>
    </row>
    <row r="31" spans="1:12" ht="15">
      <c r="A31" s="88" t="s">
        <v>1516</v>
      </c>
      <c r="B31" s="87" t="s">
        <v>1358</v>
      </c>
      <c r="C31" s="81">
        <v>2</v>
      </c>
      <c r="D31" s="108">
        <v>0.003534135212451652</v>
      </c>
      <c r="E31" s="108">
        <v>2.03261876085072</v>
      </c>
      <c r="F31" s="81" t="s">
        <v>1527</v>
      </c>
      <c r="G31" s="81" t="b">
        <v>0</v>
      </c>
      <c r="H31" s="81" t="b">
        <v>0</v>
      </c>
      <c r="I31" s="81" t="b">
        <v>0</v>
      </c>
      <c r="J31" s="81" t="b">
        <v>1</v>
      </c>
      <c r="K31" s="81" t="b">
        <v>0</v>
      </c>
      <c r="L31" s="81" t="b">
        <v>0</v>
      </c>
    </row>
    <row r="32" spans="1:12" ht="15">
      <c r="A32" s="88" t="s">
        <v>1369</v>
      </c>
      <c r="B32" s="87" t="s">
        <v>1384</v>
      </c>
      <c r="C32" s="81">
        <v>2</v>
      </c>
      <c r="D32" s="108">
        <v>0.00303983308492459</v>
      </c>
      <c r="E32" s="108">
        <v>1.8864907251724818</v>
      </c>
      <c r="F32" s="81" t="s">
        <v>1527</v>
      </c>
      <c r="G32" s="81" t="b">
        <v>0</v>
      </c>
      <c r="H32" s="81" t="b">
        <v>0</v>
      </c>
      <c r="I32" s="81" t="b">
        <v>0</v>
      </c>
      <c r="J32" s="81" t="b">
        <v>0</v>
      </c>
      <c r="K32" s="81" t="b">
        <v>0</v>
      </c>
      <c r="L32" s="81" t="b">
        <v>0</v>
      </c>
    </row>
    <row r="33" spans="1:12" ht="15">
      <c r="A33" s="88" t="s">
        <v>1404</v>
      </c>
      <c r="B33" s="87" t="s">
        <v>1360</v>
      </c>
      <c r="C33" s="81">
        <v>2</v>
      </c>
      <c r="D33" s="108">
        <v>0.00303983308492459</v>
      </c>
      <c r="E33" s="108">
        <v>1.7773462557474138</v>
      </c>
      <c r="F33" s="81" t="s">
        <v>1527</v>
      </c>
      <c r="G33" s="81" t="b">
        <v>0</v>
      </c>
      <c r="H33" s="81" t="b">
        <v>0</v>
      </c>
      <c r="I33" s="81" t="b">
        <v>0</v>
      </c>
      <c r="J33" s="81" t="b">
        <v>1</v>
      </c>
      <c r="K33" s="81" t="b">
        <v>0</v>
      </c>
      <c r="L33" s="81" t="b">
        <v>0</v>
      </c>
    </row>
    <row r="34" spans="1:12" ht="15">
      <c r="A34" s="88" t="s">
        <v>1456</v>
      </c>
      <c r="B34" s="87" t="s">
        <v>1504</v>
      </c>
      <c r="C34" s="81">
        <v>2</v>
      </c>
      <c r="D34" s="108">
        <v>0.003534135212451652</v>
      </c>
      <c r="E34" s="108">
        <v>2.7315887651867388</v>
      </c>
      <c r="F34" s="81" t="s">
        <v>1527</v>
      </c>
      <c r="G34" s="81" t="b">
        <v>0</v>
      </c>
      <c r="H34" s="81" t="b">
        <v>0</v>
      </c>
      <c r="I34" s="81" t="b">
        <v>0</v>
      </c>
      <c r="J34" s="81" t="b">
        <v>0</v>
      </c>
      <c r="K34" s="81" t="b">
        <v>0</v>
      </c>
      <c r="L34" s="81" t="b">
        <v>0</v>
      </c>
    </row>
    <row r="35" spans="1:12" ht="15">
      <c r="A35" s="88" t="s">
        <v>1168</v>
      </c>
      <c r="B35" s="87" t="s">
        <v>1355</v>
      </c>
      <c r="C35" s="81">
        <v>2</v>
      </c>
      <c r="D35" s="108">
        <v>0.00303983308492459</v>
      </c>
      <c r="E35" s="108">
        <v>0.9757139095142473</v>
      </c>
      <c r="F35" s="81" t="s">
        <v>1527</v>
      </c>
      <c r="G35" s="81" t="b">
        <v>0</v>
      </c>
      <c r="H35" s="81" t="b">
        <v>0</v>
      </c>
      <c r="I35" s="81" t="b">
        <v>0</v>
      </c>
      <c r="J35" s="81" t="b">
        <v>1</v>
      </c>
      <c r="K35" s="81" t="b">
        <v>0</v>
      </c>
      <c r="L35" s="81" t="b">
        <v>0</v>
      </c>
    </row>
    <row r="36" spans="1:12" ht="15">
      <c r="A36" s="88" t="s">
        <v>1395</v>
      </c>
      <c r="B36" s="87" t="s">
        <v>1362</v>
      </c>
      <c r="C36" s="81">
        <v>2</v>
      </c>
      <c r="D36" s="108">
        <v>0.00303983308492459</v>
      </c>
      <c r="E36" s="108">
        <v>1.7773462557474138</v>
      </c>
      <c r="F36" s="81" t="s">
        <v>1527</v>
      </c>
      <c r="G36" s="81" t="b">
        <v>0</v>
      </c>
      <c r="H36" s="81" t="b">
        <v>0</v>
      </c>
      <c r="I36" s="81" t="b">
        <v>0</v>
      </c>
      <c r="J36" s="81" t="b">
        <v>0</v>
      </c>
      <c r="K36" s="81" t="b">
        <v>0</v>
      </c>
      <c r="L36" s="81" t="b">
        <v>0</v>
      </c>
    </row>
    <row r="37" spans="1:12" ht="15">
      <c r="A37" s="88" t="s">
        <v>1407</v>
      </c>
      <c r="B37" s="87" t="s">
        <v>1391</v>
      </c>
      <c r="C37" s="81">
        <v>2</v>
      </c>
      <c r="D37" s="108">
        <v>0.003534135212451652</v>
      </c>
      <c r="E37" s="108">
        <v>2.1295287738587763</v>
      </c>
      <c r="F37" s="81" t="s">
        <v>1527</v>
      </c>
      <c r="G37" s="81" t="b">
        <v>0</v>
      </c>
      <c r="H37" s="81" t="b">
        <v>0</v>
      </c>
      <c r="I37" s="81" t="b">
        <v>0</v>
      </c>
      <c r="J37" s="81" t="b">
        <v>0</v>
      </c>
      <c r="K37" s="81" t="b">
        <v>0</v>
      </c>
      <c r="L37" s="81" t="b">
        <v>0</v>
      </c>
    </row>
    <row r="38" spans="1:12" ht="15">
      <c r="A38" s="88" t="s">
        <v>1356</v>
      </c>
      <c r="B38" s="87" t="s">
        <v>1376</v>
      </c>
      <c r="C38" s="81">
        <v>2</v>
      </c>
      <c r="D38" s="108">
        <v>0.003534135212451652</v>
      </c>
      <c r="E38" s="108">
        <v>1.458587493123001</v>
      </c>
      <c r="F38" s="81" t="s">
        <v>1527</v>
      </c>
      <c r="G38" s="81" t="b">
        <v>0</v>
      </c>
      <c r="H38" s="81" t="b">
        <v>0</v>
      </c>
      <c r="I38" s="81" t="b">
        <v>0</v>
      </c>
      <c r="J38" s="81" t="b">
        <v>0</v>
      </c>
      <c r="K38" s="81" t="b">
        <v>0</v>
      </c>
      <c r="L38" s="81" t="b">
        <v>0</v>
      </c>
    </row>
    <row r="39" spans="1:12" ht="15">
      <c r="A39" s="88" t="s">
        <v>1396</v>
      </c>
      <c r="B39" s="87" t="s">
        <v>1473</v>
      </c>
      <c r="C39" s="81">
        <v>2</v>
      </c>
      <c r="D39" s="108">
        <v>0.00303983308492459</v>
      </c>
      <c r="E39" s="108">
        <v>2.4305587695227575</v>
      </c>
      <c r="F39" s="81" t="s">
        <v>1527</v>
      </c>
      <c r="G39" s="81" t="b">
        <v>0</v>
      </c>
      <c r="H39" s="81" t="b">
        <v>0</v>
      </c>
      <c r="I39" s="81" t="b">
        <v>0</v>
      </c>
      <c r="J39" s="81" t="b">
        <v>0</v>
      </c>
      <c r="K39" s="81" t="b">
        <v>0</v>
      </c>
      <c r="L39" s="81" t="b">
        <v>0</v>
      </c>
    </row>
    <row r="40" spans="1:12" ht="15">
      <c r="A40" s="88" t="s">
        <v>1359</v>
      </c>
      <c r="B40" s="87" t="s">
        <v>1125</v>
      </c>
      <c r="C40" s="81">
        <v>2</v>
      </c>
      <c r="D40" s="108">
        <v>0.00303983308492459</v>
      </c>
      <c r="E40" s="108">
        <v>1.0881360887005513</v>
      </c>
      <c r="F40" s="81" t="s">
        <v>1527</v>
      </c>
      <c r="G40" s="81" t="b">
        <v>1</v>
      </c>
      <c r="H40" s="81" t="b">
        <v>0</v>
      </c>
      <c r="I40" s="81" t="b">
        <v>0</v>
      </c>
      <c r="J40" s="81" t="b">
        <v>0</v>
      </c>
      <c r="K40" s="81" t="b">
        <v>0</v>
      </c>
      <c r="L40" s="81" t="b">
        <v>0</v>
      </c>
    </row>
    <row r="41" spans="1:12" ht="15">
      <c r="A41" s="88" t="s">
        <v>1370</v>
      </c>
      <c r="B41" s="87" t="s">
        <v>1520</v>
      </c>
      <c r="C41" s="81">
        <v>2</v>
      </c>
      <c r="D41" s="108">
        <v>0.00303983308492459</v>
      </c>
      <c r="E41" s="108">
        <v>2.187520720836463</v>
      </c>
      <c r="F41" s="81" t="s">
        <v>1527</v>
      </c>
      <c r="G41" s="81" t="b">
        <v>0</v>
      </c>
      <c r="H41" s="81" t="b">
        <v>0</v>
      </c>
      <c r="I41" s="81" t="b">
        <v>0</v>
      </c>
      <c r="J41" s="81" t="b">
        <v>0</v>
      </c>
      <c r="K41" s="81" t="b">
        <v>0</v>
      </c>
      <c r="L41" s="81" t="b">
        <v>0</v>
      </c>
    </row>
    <row r="42" spans="1:12" ht="15">
      <c r="A42" s="88" t="s">
        <v>1402</v>
      </c>
      <c r="B42" s="87" t="s">
        <v>1441</v>
      </c>
      <c r="C42" s="81">
        <v>2</v>
      </c>
      <c r="D42" s="108">
        <v>0.003534135212451652</v>
      </c>
      <c r="E42" s="108">
        <v>2.254467510467076</v>
      </c>
      <c r="F42" s="81" t="s">
        <v>1527</v>
      </c>
      <c r="G42" s="81" t="b">
        <v>0</v>
      </c>
      <c r="H42" s="81" t="b">
        <v>0</v>
      </c>
      <c r="I42" s="81" t="b">
        <v>0</v>
      </c>
      <c r="J42" s="81" t="b">
        <v>0</v>
      </c>
      <c r="K42" s="81" t="b">
        <v>0</v>
      </c>
      <c r="L42" s="81" t="b">
        <v>0</v>
      </c>
    </row>
    <row r="43" spans="1:12" ht="15">
      <c r="A43" s="88" t="s">
        <v>1389</v>
      </c>
      <c r="B43" s="87" t="s">
        <v>1476</v>
      </c>
      <c r="C43" s="81">
        <v>2</v>
      </c>
      <c r="D43" s="108">
        <v>0.003534135212451652</v>
      </c>
      <c r="E43" s="108">
        <v>2.4305587695227575</v>
      </c>
      <c r="F43" s="81" t="s">
        <v>1527</v>
      </c>
      <c r="G43" s="81" t="b">
        <v>0</v>
      </c>
      <c r="H43" s="81" t="b">
        <v>0</v>
      </c>
      <c r="I43" s="81" t="b">
        <v>0</v>
      </c>
      <c r="J43" s="81" t="b">
        <v>0</v>
      </c>
      <c r="K43" s="81" t="b">
        <v>0</v>
      </c>
      <c r="L43" s="81" t="b">
        <v>0</v>
      </c>
    </row>
    <row r="44" spans="1:12" ht="15">
      <c r="A44" s="88" t="s">
        <v>1508</v>
      </c>
      <c r="B44" s="87" t="s">
        <v>1414</v>
      </c>
      <c r="C44" s="81">
        <v>2</v>
      </c>
      <c r="D44" s="108">
        <v>0.003534135212451652</v>
      </c>
      <c r="E44" s="108">
        <v>2.5554975061310574</v>
      </c>
      <c r="F44" s="81" t="s">
        <v>1527</v>
      </c>
      <c r="G44" s="81" t="b">
        <v>0</v>
      </c>
      <c r="H44" s="81" t="b">
        <v>0</v>
      </c>
      <c r="I44" s="81" t="b">
        <v>0</v>
      </c>
      <c r="J44" s="81" t="b">
        <v>0</v>
      </c>
      <c r="K44" s="81" t="b">
        <v>0</v>
      </c>
      <c r="L44" s="81" t="b">
        <v>0</v>
      </c>
    </row>
    <row r="45" spans="1:12" ht="15">
      <c r="A45" s="88" t="s">
        <v>1417</v>
      </c>
      <c r="B45" s="87" t="s">
        <v>1367</v>
      </c>
      <c r="C45" s="81">
        <v>2</v>
      </c>
      <c r="D45" s="108">
        <v>0.00303983308492459</v>
      </c>
      <c r="E45" s="108">
        <v>1.9534375148030951</v>
      </c>
      <c r="F45" s="81" t="s">
        <v>1527</v>
      </c>
      <c r="G45" s="81" t="b">
        <v>0</v>
      </c>
      <c r="H45" s="81" t="b">
        <v>0</v>
      </c>
      <c r="I45" s="81" t="b">
        <v>0</v>
      </c>
      <c r="J45" s="81" t="b">
        <v>0</v>
      </c>
      <c r="K45" s="81" t="b">
        <v>0</v>
      </c>
      <c r="L45" s="81" t="b">
        <v>0</v>
      </c>
    </row>
    <row r="46" spans="1:12" ht="15">
      <c r="A46" s="88" t="s">
        <v>1368</v>
      </c>
      <c r="B46" s="87" t="s">
        <v>1395</v>
      </c>
      <c r="C46" s="81">
        <v>2</v>
      </c>
      <c r="D46" s="108">
        <v>0.00303983308492459</v>
      </c>
      <c r="E46" s="108">
        <v>1.8284987781947952</v>
      </c>
      <c r="F46" s="81" t="s">
        <v>1527</v>
      </c>
      <c r="G46" s="81" t="b">
        <v>0</v>
      </c>
      <c r="H46" s="81" t="b">
        <v>0</v>
      </c>
      <c r="I46" s="81" t="b">
        <v>0</v>
      </c>
      <c r="J46" s="81" t="b">
        <v>0</v>
      </c>
      <c r="K46" s="81" t="b">
        <v>0</v>
      </c>
      <c r="L46" s="81" t="b">
        <v>0</v>
      </c>
    </row>
    <row r="47" spans="1:12" ht="15">
      <c r="A47" s="88" t="s">
        <v>1365</v>
      </c>
      <c r="B47" s="87" t="s">
        <v>1356</v>
      </c>
      <c r="C47" s="81">
        <v>6</v>
      </c>
      <c r="D47" s="108">
        <v>0.010429102754085822</v>
      </c>
      <c r="E47" s="108">
        <v>1.680108786976679</v>
      </c>
      <c r="F47" s="81" t="s">
        <v>1319</v>
      </c>
      <c r="G47" s="81" t="b">
        <v>0</v>
      </c>
      <c r="H47" s="81" t="b">
        <v>0</v>
      </c>
      <c r="I47" s="81" t="b">
        <v>0</v>
      </c>
      <c r="J47" s="81" t="b">
        <v>0</v>
      </c>
      <c r="K47" s="81" t="b">
        <v>0</v>
      </c>
      <c r="L47" s="81" t="b">
        <v>0</v>
      </c>
    </row>
    <row r="48" spans="1:12" ht="15">
      <c r="A48" s="88" t="s">
        <v>1162</v>
      </c>
      <c r="B48" s="87" t="s">
        <v>1359</v>
      </c>
      <c r="C48" s="81">
        <v>4</v>
      </c>
      <c r="D48" s="108">
        <v>0.006370270196857682</v>
      </c>
      <c r="E48" s="108">
        <v>1.3559549924655603</v>
      </c>
      <c r="F48" s="81" t="s">
        <v>1319</v>
      </c>
      <c r="G48" s="81" t="b">
        <v>1</v>
      </c>
      <c r="H48" s="81" t="b">
        <v>0</v>
      </c>
      <c r="I48" s="81" t="b">
        <v>0</v>
      </c>
      <c r="J48" s="81" t="b">
        <v>1</v>
      </c>
      <c r="K48" s="81" t="b">
        <v>0</v>
      </c>
      <c r="L48" s="81" t="b">
        <v>0</v>
      </c>
    </row>
    <row r="49" spans="1:12" ht="15">
      <c r="A49" s="88" t="s">
        <v>1392</v>
      </c>
      <c r="B49" s="87" t="s">
        <v>1401</v>
      </c>
      <c r="C49" s="81">
        <v>4</v>
      </c>
      <c r="D49" s="108">
        <v>0.006370270196857682</v>
      </c>
      <c r="E49" s="108">
        <v>2.2821687783046416</v>
      </c>
      <c r="F49" s="81" t="s">
        <v>1319</v>
      </c>
      <c r="G49" s="81" t="b">
        <v>0</v>
      </c>
      <c r="H49" s="81" t="b">
        <v>0</v>
      </c>
      <c r="I49" s="81" t="b">
        <v>0</v>
      </c>
      <c r="J49" s="81" t="b">
        <v>0</v>
      </c>
      <c r="K49" s="81" t="b">
        <v>0</v>
      </c>
      <c r="L49" s="81" t="b">
        <v>0</v>
      </c>
    </row>
    <row r="50" spans="1:12" ht="15">
      <c r="A50" s="88" t="s">
        <v>1363</v>
      </c>
      <c r="B50" s="87" t="s">
        <v>1125</v>
      </c>
      <c r="C50" s="81">
        <v>4</v>
      </c>
      <c r="D50" s="108">
        <v>0.006370270196857682</v>
      </c>
      <c r="E50" s="108">
        <v>1.4370707382903847</v>
      </c>
      <c r="F50" s="81" t="s">
        <v>1319</v>
      </c>
      <c r="G50" s="81" t="b">
        <v>0</v>
      </c>
      <c r="H50" s="81" t="b">
        <v>0</v>
      </c>
      <c r="I50" s="81" t="b">
        <v>0</v>
      </c>
      <c r="J50" s="81" t="b">
        <v>0</v>
      </c>
      <c r="K50" s="81" t="b">
        <v>0</v>
      </c>
      <c r="L50" s="81" t="b">
        <v>0</v>
      </c>
    </row>
    <row r="51" spans="1:12" ht="15">
      <c r="A51" s="88" t="s">
        <v>1384</v>
      </c>
      <c r="B51" s="87" t="s">
        <v>1371</v>
      </c>
      <c r="C51" s="81">
        <v>3</v>
      </c>
      <c r="D51" s="108">
        <v>0.005830255080034804</v>
      </c>
      <c r="E51" s="108">
        <v>1.9811387826406603</v>
      </c>
      <c r="F51" s="81" t="s">
        <v>1319</v>
      </c>
      <c r="G51" s="81" t="b">
        <v>0</v>
      </c>
      <c r="H51" s="81" t="b">
        <v>0</v>
      </c>
      <c r="I51" s="81" t="b">
        <v>0</v>
      </c>
      <c r="J51" s="81" t="b">
        <v>1</v>
      </c>
      <c r="K51" s="81" t="b">
        <v>0</v>
      </c>
      <c r="L51" s="81" t="b">
        <v>0</v>
      </c>
    </row>
    <row r="52" spans="1:12" ht="15">
      <c r="A52" s="88" t="s">
        <v>1356</v>
      </c>
      <c r="B52" s="87" t="s">
        <v>1168</v>
      </c>
      <c r="C52" s="81">
        <v>3</v>
      </c>
      <c r="D52" s="108">
        <v>0.005214551377042911</v>
      </c>
      <c r="E52" s="108">
        <v>0.9548098439183111</v>
      </c>
      <c r="F52" s="81" t="s">
        <v>1319</v>
      </c>
      <c r="G52" s="81" t="b">
        <v>0</v>
      </c>
      <c r="H52" s="81" t="b">
        <v>0</v>
      </c>
      <c r="I52" s="81" t="b">
        <v>0</v>
      </c>
      <c r="J52" s="81" t="b">
        <v>0</v>
      </c>
      <c r="K52" s="81" t="b">
        <v>0</v>
      </c>
      <c r="L52" s="81" t="b">
        <v>0</v>
      </c>
    </row>
    <row r="53" spans="1:12" ht="15">
      <c r="A53" s="88" t="s">
        <v>1430</v>
      </c>
      <c r="B53" s="87" t="s">
        <v>1427</v>
      </c>
      <c r="C53" s="81">
        <v>3</v>
      </c>
      <c r="D53" s="108">
        <v>0.005214551377042911</v>
      </c>
      <c r="E53" s="108">
        <v>2.4071075149129415</v>
      </c>
      <c r="F53" s="81" t="s">
        <v>1319</v>
      </c>
      <c r="G53" s="81" t="b">
        <v>0</v>
      </c>
      <c r="H53" s="81" t="b">
        <v>0</v>
      </c>
      <c r="I53" s="81" t="b">
        <v>0</v>
      </c>
      <c r="J53" s="81" t="b">
        <v>0</v>
      </c>
      <c r="K53" s="81" t="b">
        <v>0</v>
      </c>
      <c r="L53" s="81" t="b">
        <v>0</v>
      </c>
    </row>
    <row r="54" spans="1:12" ht="15">
      <c r="A54" s="88" t="s">
        <v>1381</v>
      </c>
      <c r="B54" s="87" t="s">
        <v>1380</v>
      </c>
      <c r="C54" s="81">
        <v>3</v>
      </c>
      <c r="D54" s="108">
        <v>0.005214551377042911</v>
      </c>
      <c r="E54" s="108">
        <v>1.9634100156802288</v>
      </c>
      <c r="F54" s="81" t="s">
        <v>1319</v>
      </c>
      <c r="G54" s="81" t="b">
        <v>1</v>
      </c>
      <c r="H54" s="81" t="b">
        <v>0</v>
      </c>
      <c r="I54" s="81" t="b">
        <v>0</v>
      </c>
      <c r="J54" s="81" t="b">
        <v>0</v>
      </c>
      <c r="K54" s="81" t="b">
        <v>0</v>
      </c>
      <c r="L54" s="81" t="b">
        <v>0</v>
      </c>
    </row>
    <row r="55" spans="1:12" ht="15">
      <c r="A55" s="88" t="s">
        <v>1355</v>
      </c>
      <c r="B55" s="87" t="s">
        <v>1361</v>
      </c>
      <c r="C55" s="81">
        <v>3</v>
      </c>
      <c r="D55" s="108">
        <v>0.005214551377042911</v>
      </c>
      <c r="E55" s="108">
        <v>1.469255421661786</v>
      </c>
      <c r="F55" s="81" t="s">
        <v>1319</v>
      </c>
      <c r="G55" s="81" t="b">
        <v>1</v>
      </c>
      <c r="H55" s="81" t="b">
        <v>0</v>
      </c>
      <c r="I55" s="81" t="b">
        <v>0</v>
      </c>
      <c r="J55" s="81" t="b">
        <v>0</v>
      </c>
      <c r="K55" s="81" t="b">
        <v>0</v>
      </c>
      <c r="L55" s="81" t="b">
        <v>0</v>
      </c>
    </row>
    <row r="56" spans="1:12" ht="15">
      <c r="A56" s="88" t="s">
        <v>1358</v>
      </c>
      <c r="B56" s="87" t="s">
        <v>1168</v>
      </c>
      <c r="C56" s="81">
        <v>3</v>
      </c>
      <c r="D56" s="108">
        <v>0.005214551377042911</v>
      </c>
      <c r="E56" s="108">
        <v>1.1766585935346676</v>
      </c>
      <c r="F56" s="81" t="s">
        <v>1319</v>
      </c>
      <c r="G56" s="81" t="b">
        <v>1</v>
      </c>
      <c r="H56" s="81" t="b">
        <v>0</v>
      </c>
      <c r="I56" s="81" t="b">
        <v>0</v>
      </c>
      <c r="J56" s="81" t="b">
        <v>0</v>
      </c>
      <c r="K56" s="81" t="b">
        <v>0</v>
      </c>
      <c r="L56" s="81" t="b">
        <v>0</v>
      </c>
    </row>
    <row r="57" spans="1:12" ht="15">
      <c r="A57" s="88" t="s">
        <v>1401</v>
      </c>
      <c r="B57" s="87" t="s">
        <v>1369</v>
      </c>
      <c r="C57" s="81">
        <v>3</v>
      </c>
      <c r="D57" s="108">
        <v>0.005214551377042911</v>
      </c>
      <c r="E57" s="108">
        <v>2.039130729618347</v>
      </c>
      <c r="F57" s="81" t="s">
        <v>1319</v>
      </c>
      <c r="G57" s="81" t="b">
        <v>0</v>
      </c>
      <c r="H57" s="81" t="b">
        <v>0</v>
      </c>
      <c r="I57" s="81" t="b">
        <v>0</v>
      </c>
      <c r="J57" s="81" t="b">
        <v>0</v>
      </c>
      <c r="K57" s="81" t="b">
        <v>0</v>
      </c>
      <c r="L57" s="81" t="b">
        <v>0</v>
      </c>
    </row>
    <row r="58" spans="1:12" ht="15">
      <c r="A58" s="88" t="s">
        <v>1361</v>
      </c>
      <c r="B58" s="87" t="s">
        <v>1363</v>
      </c>
      <c r="C58" s="81">
        <v>2</v>
      </c>
      <c r="D58" s="108">
        <v>0.003886836720023203</v>
      </c>
      <c r="E58" s="108">
        <v>1.4528650054736167</v>
      </c>
      <c r="F58" s="81" t="s">
        <v>1319</v>
      </c>
      <c r="G58" s="81" t="b">
        <v>0</v>
      </c>
      <c r="H58" s="81" t="b">
        <v>0</v>
      </c>
      <c r="I58" s="81" t="b">
        <v>0</v>
      </c>
      <c r="J58" s="81" t="b">
        <v>0</v>
      </c>
      <c r="K58" s="81" t="b">
        <v>0</v>
      </c>
      <c r="L58" s="81" t="b">
        <v>0</v>
      </c>
    </row>
    <row r="59" spans="1:12" ht="15">
      <c r="A59" s="88" t="s">
        <v>1370</v>
      </c>
      <c r="B59" s="87" t="s">
        <v>1356</v>
      </c>
      <c r="C59" s="81">
        <v>2</v>
      </c>
      <c r="D59" s="108">
        <v>0.003886836720023203</v>
      </c>
      <c r="E59" s="108">
        <v>1.1360407426264034</v>
      </c>
      <c r="F59" s="81" t="s">
        <v>1319</v>
      </c>
      <c r="G59" s="81" t="b">
        <v>0</v>
      </c>
      <c r="H59" s="81" t="b">
        <v>0</v>
      </c>
      <c r="I59" s="81" t="b">
        <v>0</v>
      </c>
      <c r="J59" s="81" t="b">
        <v>0</v>
      </c>
      <c r="K59" s="81" t="b">
        <v>0</v>
      </c>
      <c r="L59" s="81" t="b">
        <v>0</v>
      </c>
    </row>
    <row r="60" spans="1:12" ht="15">
      <c r="A60" s="88" t="s">
        <v>1376</v>
      </c>
      <c r="B60" s="87" t="s">
        <v>1386</v>
      </c>
      <c r="C60" s="81">
        <v>2</v>
      </c>
      <c r="D60" s="108">
        <v>0.003886836720023203</v>
      </c>
      <c r="E60" s="108">
        <v>1.8842287696326039</v>
      </c>
      <c r="F60" s="81" t="s">
        <v>1319</v>
      </c>
      <c r="G60" s="81" t="b">
        <v>0</v>
      </c>
      <c r="H60" s="81" t="b">
        <v>0</v>
      </c>
      <c r="I60" s="81" t="b">
        <v>0</v>
      </c>
      <c r="J60" s="81" t="b">
        <v>0</v>
      </c>
      <c r="K60" s="81" t="b">
        <v>0</v>
      </c>
      <c r="L60" s="81" t="b">
        <v>0</v>
      </c>
    </row>
    <row r="61" spans="1:12" ht="15">
      <c r="A61" s="88" t="s">
        <v>1125</v>
      </c>
      <c r="B61" s="87" t="s">
        <v>1362</v>
      </c>
      <c r="C61" s="81">
        <v>2</v>
      </c>
      <c r="D61" s="108">
        <v>0.003886836720023203</v>
      </c>
      <c r="E61" s="108">
        <v>1.2029875322570167</v>
      </c>
      <c r="F61" s="81" t="s">
        <v>1319</v>
      </c>
      <c r="G61" s="81" t="b">
        <v>0</v>
      </c>
      <c r="H61" s="81" t="b">
        <v>0</v>
      </c>
      <c r="I61" s="81" t="b">
        <v>0</v>
      </c>
      <c r="J61" s="81" t="b">
        <v>0</v>
      </c>
      <c r="K61" s="81" t="b">
        <v>0</v>
      </c>
      <c r="L61" s="81" t="b">
        <v>0</v>
      </c>
    </row>
    <row r="62" spans="1:12" ht="15">
      <c r="A62" s="88" t="s">
        <v>1386</v>
      </c>
      <c r="B62" s="87" t="s">
        <v>1390</v>
      </c>
      <c r="C62" s="81">
        <v>2</v>
      </c>
      <c r="D62" s="108">
        <v>0.004588538341617564</v>
      </c>
      <c r="E62" s="108">
        <v>1.9811387826406603</v>
      </c>
      <c r="F62" s="81" t="s">
        <v>1319</v>
      </c>
      <c r="G62" s="81" t="b">
        <v>0</v>
      </c>
      <c r="H62" s="81" t="b">
        <v>0</v>
      </c>
      <c r="I62" s="81" t="b">
        <v>0</v>
      </c>
      <c r="J62" s="81" t="b">
        <v>0</v>
      </c>
      <c r="K62" s="81" t="b">
        <v>0</v>
      </c>
      <c r="L62" s="81" t="b">
        <v>0</v>
      </c>
    </row>
    <row r="63" spans="1:12" ht="15">
      <c r="A63" s="88" t="s">
        <v>1372</v>
      </c>
      <c r="B63" s="87" t="s">
        <v>1357</v>
      </c>
      <c r="C63" s="81">
        <v>2</v>
      </c>
      <c r="D63" s="108">
        <v>0.003886836720023203</v>
      </c>
      <c r="E63" s="108">
        <v>1.3723454086537294</v>
      </c>
      <c r="F63" s="81" t="s">
        <v>1319</v>
      </c>
      <c r="G63" s="81" t="b">
        <v>0</v>
      </c>
      <c r="H63" s="81" t="b">
        <v>0</v>
      </c>
      <c r="I63" s="81" t="b">
        <v>0</v>
      </c>
      <c r="J63" s="81" t="b">
        <v>0</v>
      </c>
      <c r="K63" s="81" t="b">
        <v>0</v>
      </c>
      <c r="L63" s="81" t="b">
        <v>0</v>
      </c>
    </row>
    <row r="64" spans="1:12" ht="15">
      <c r="A64" s="88" t="s">
        <v>1516</v>
      </c>
      <c r="B64" s="87" t="s">
        <v>1358</v>
      </c>
      <c r="C64" s="81">
        <v>2</v>
      </c>
      <c r="D64" s="108">
        <v>0.004588538341617564</v>
      </c>
      <c r="E64" s="108">
        <v>1.8842287696326039</v>
      </c>
      <c r="F64" s="81" t="s">
        <v>1319</v>
      </c>
      <c r="G64" s="81" t="b">
        <v>0</v>
      </c>
      <c r="H64" s="81" t="b">
        <v>0</v>
      </c>
      <c r="I64" s="81" t="b">
        <v>0</v>
      </c>
      <c r="J64" s="81" t="b">
        <v>1</v>
      </c>
      <c r="K64" s="81" t="b">
        <v>0</v>
      </c>
      <c r="L64" s="81" t="b">
        <v>0</v>
      </c>
    </row>
    <row r="65" spans="1:12" ht="15">
      <c r="A65" s="88" t="s">
        <v>1369</v>
      </c>
      <c r="B65" s="87" t="s">
        <v>1384</v>
      </c>
      <c r="C65" s="81">
        <v>2</v>
      </c>
      <c r="D65" s="108">
        <v>0.003886836720023203</v>
      </c>
      <c r="E65" s="108">
        <v>1.738100733954366</v>
      </c>
      <c r="F65" s="81" t="s">
        <v>1319</v>
      </c>
      <c r="G65" s="81" t="b">
        <v>0</v>
      </c>
      <c r="H65" s="81" t="b">
        <v>0</v>
      </c>
      <c r="I65" s="81" t="b">
        <v>0</v>
      </c>
      <c r="J65" s="81" t="b">
        <v>0</v>
      </c>
      <c r="K65" s="81" t="b">
        <v>0</v>
      </c>
      <c r="L65" s="81" t="b">
        <v>0</v>
      </c>
    </row>
    <row r="66" spans="1:12" ht="15">
      <c r="A66" s="88" t="s">
        <v>1404</v>
      </c>
      <c r="B66" s="87" t="s">
        <v>1360</v>
      </c>
      <c r="C66" s="81">
        <v>2</v>
      </c>
      <c r="D66" s="108">
        <v>0.003886836720023203</v>
      </c>
      <c r="E66" s="108">
        <v>1.8630394705626658</v>
      </c>
      <c r="F66" s="81" t="s">
        <v>1319</v>
      </c>
      <c r="G66" s="81" t="b">
        <v>0</v>
      </c>
      <c r="H66" s="81" t="b">
        <v>0</v>
      </c>
      <c r="I66" s="81" t="b">
        <v>0</v>
      </c>
      <c r="J66" s="81" t="b">
        <v>1</v>
      </c>
      <c r="K66" s="81" t="b">
        <v>0</v>
      </c>
      <c r="L66" s="81" t="b">
        <v>0</v>
      </c>
    </row>
    <row r="67" spans="1:12" ht="15">
      <c r="A67" s="88" t="s">
        <v>1168</v>
      </c>
      <c r="B67" s="87" t="s">
        <v>1355</v>
      </c>
      <c r="C67" s="81">
        <v>2</v>
      </c>
      <c r="D67" s="108">
        <v>0.003886836720023203</v>
      </c>
      <c r="E67" s="108">
        <v>0.9065051643437563</v>
      </c>
      <c r="F67" s="81" t="s">
        <v>1319</v>
      </c>
      <c r="G67" s="81" t="b">
        <v>0</v>
      </c>
      <c r="H67" s="81" t="b">
        <v>0</v>
      </c>
      <c r="I67" s="81" t="b">
        <v>0</v>
      </c>
      <c r="J67" s="81" t="b">
        <v>1</v>
      </c>
      <c r="K67" s="81" t="b">
        <v>0</v>
      </c>
      <c r="L67" s="81" t="b">
        <v>0</v>
      </c>
    </row>
    <row r="68" spans="1:12" ht="15">
      <c r="A68" s="88" t="s">
        <v>1395</v>
      </c>
      <c r="B68" s="87" t="s">
        <v>1362</v>
      </c>
      <c r="C68" s="81">
        <v>2</v>
      </c>
      <c r="D68" s="108">
        <v>0.003886836720023203</v>
      </c>
      <c r="E68" s="108">
        <v>1.8050475235849792</v>
      </c>
      <c r="F68" s="81" t="s">
        <v>1319</v>
      </c>
      <c r="G68" s="81" t="b">
        <v>0</v>
      </c>
      <c r="H68" s="81" t="b">
        <v>0</v>
      </c>
      <c r="I68" s="81" t="b">
        <v>0</v>
      </c>
      <c r="J68" s="81" t="b">
        <v>0</v>
      </c>
      <c r="K68" s="81" t="b">
        <v>0</v>
      </c>
      <c r="L68" s="81" t="b">
        <v>0</v>
      </c>
    </row>
    <row r="69" spans="1:12" ht="15">
      <c r="A69" s="88" t="s">
        <v>1407</v>
      </c>
      <c r="B69" s="87" t="s">
        <v>1391</v>
      </c>
      <c r="C69" s="81">
        <v>2</v>
      </c>
      <c r="D69" s="108">
        <v>0.004588538341617564</v>
      </c>
      <c r="E69" s="108">
        <v>2.1060775192489603</v>
      </c>
      <c r="F69" s="81" t="s">
        <v>1319</v>
      </c>
      <c r="G69" s="81" t="b">
        <v>0</v>
      </c>
      <c r="H69" s="81" t="b">
        <v>0</v>
      </c>
      <c r="I69" s="81" t="b">
        <v>0</v>
      </c>
      <c r="J69" s="81" t="b">
        <v>0</v>
      </c>
      <c r="K69" s="81" t="b">
        <v>0</v>
      </c>
      <c r="L69" s="81" t="b">
        <v>0</v>
      </c>
    </row>
    <row r="70" spans="1:12" ht="15">
      <c r="A70" s="88" t="s">
        <v>1356</v>
      </c>
      <c r="B70" s="87" t="s">
        <v>1376</v>
      </c>
      <c r="C70" s="81">
        <v>2</v>
      </c>
      <c r="D70" s="108">
        <v>0.004588538341617564</v>
      </c>
      <c r="E70" s="108">
        <v>1.310197501904885</v>
      </c>
      <c r="F70" s="81" t="s">
        <v>1319</v>
      </c>
      <c r="G70" s="81" t="b">
        <v>0</v>
      </c>
      <c r="H70" s="81" t="b">
        <v>0</v>
      </c>
      <c r="I70" s="81" t="b">
        <v>0</v>
      </c>
      <c r="J70" s="81" t="b">
        <v>0</v>
      </c>
      <c r="K70" s="81" t="b">
        <v>0</v>
      </c>
      <c r="L70" s="81" t="b">
        <v>0</v>
      </c>
    </row>
    <row r="71" spans="1:12" ht="15">
      <c r="A71" s="88" t="s">
        <v>1359</v>
      </c>
      <c r="B71" s="87" t="s">
        <v>1125</v>
      </c>
      <c r="C71" s="81">
        <v>2</v>
      </c>
      <c r="D71" s="108">
        <v>0.003886836720023203</v>
      </c>
      <c r="E71" s="108">
        <v>1.1360407426264034</v>
      </c>
      <c r="F71" s="81" t="s">
        <v>1319</v>
      </c>
      <c r="G71" s="81" t="b">
        <v>1</v>
      </c>
      <c r="H71" s="81" t="b">
        <v>0</v>
      </c>
      <c r="I71" s="81" t="b">
        <v>0</v>
      </c>
      <c r="J71" s="81" t="b">
        <v>0</v>
      </c>
      <c r="K71" s="81" t="b">
        <v>0</v>
      </c>
      <c r="L71" s="81" t="b">
        <v>0</v>
      </c>
    </row>
    <row r="72" spans="1:12" ht="15">
      <c r="A72" s="88" t="s">
        <v>1370</v>
      </c>
      <c r="B72" s="87" t="s">
        <v>1520</v>
      </c>
      <c r="C72" s="81">
        <v>2</v>
      </c>
      <c r="D72" s="108">
        <v>0.003886836720023203</v>
      </c>
      <c r="E72" s="108">
        <v>2.039130729618347</v>
      </c>
      <c r="F72" s="81" t="s">
        <v>1319</v>
      </c>
      <c r="G72" s="81" t="b">
        <v>0</v>
      </c>
      <c r="H72" s="81" t="b">
        <v>0</v>
      </c>
      <c r="I72" s="81" t="b">
        <v>0</v>
      </c>
      <c r="J72" s="81" t="b">
        <v>0</v>
      </c>
      <c r="K72" s="81" t="b">
        <v>0</v>
      </c>
      <c r="L72" s="81" t="b">
        <v>0</v>
      </c>
    </row>
    <row r="73" spans="1:12" ht="15">
      <c r="A73" s="88" t="s">
        <v>1402</v>
      </c>
      <c r="B73" s="87" t="s">
        <v>1441</v>
      </c>
      <c r="C73" s="81">
        <v>2</v>
      </c>
      <c r="D73" s="108">
        <v>0.004588538341617564</v>
      </c>
      <c r="E73" s="108">
        <v>2.1060775192489603</v>
      </c>
      <c r="F73" s="81" t="s">
        <v>1319</v>
      </c>
      <c r="G73" s="81" t="b">
        <v>0</v>
      </c>
      <c r="H73" s="81" t="b">
        <v>0</v>
      </c>
      <c r="I73" s="81" t="b">
        <v>0</v>
      </c>
      <c r="J73" s="81" t="b">
        <v>0</v>
      </c>
      <c r="K73" s="81" t="b">
        <v>0</v>
      </c>
      <c r="L73" s="81" t="b">
        <v>0</v>
      </c>
    </row>
    <row r="74" spans="1:12" ht="15">
      <c r="A74" s="88" t="s">
        <v>1417</v>
      </c>
      <c r="B74" s="87" t="s">
        <v>1367</v>
      </c>
      <c r="C74" s="81">
        <v>2</v>
      </c>
      <c r="D74" s="108">
        <v>0.003886836720023203</v>
      </c>
      <c r="E74" s="108">
        <v>1.8050475235849792</v>
      </c>
      <c r="F74" s="81" t="s">
        <v>1319</v>
      </c>
      <c r="G74" s="81" t="b">
        <v>0</v>
      </c>
      <c r="H74" s="81" t="b">
        <v>0</v>
      </c>
      <c r="I74" s="81" t="b">
        <v>0</v>
      </c>
      <c r="J74" s="81" t="b">
        <v>0</v>
      </c>
      <c r="K74" s="81" t="b">
        <v>0</v>
      </c>
      <c r="L74" s="81" t="b">
        <v>0</v>
      </c>
    </row>
    <row r="75" spans="1:12" ht="15">
      <c r="A75" s="88" t="s">
        <v>1368</v>
      </c>
      <c r="B75" s="87" t="s">
        <v>1395</v>
      </c>
      <c r="C75" s="81">
        <v>2</v>
      </c>
      <c r="D75" s="108">
        <v>0.003886836720023203</v>
      </c>
      <c r="E75" s="108">
        <v>1.8050475235849792</v>
      </c>
      <c r="F75" s="81" t="s">
        <v>1319</v>
      </c>
      <c r="G75" s="81" t="b">
        <v>0</v>
      </c>
      <c r="H75" s="81" t="b">
        <v>0</v>
      </c>
      <c r="I75" s="81" t="b">
        <v>0</v>
      </c>
      <c r="J75" s="81" t="b">
        <v>0</v>
      </c>
      <c r="K75" s="81" t="b">
        <v>0</v>
      </c>
      <c r="L75" s="81" t="b">
        <v>0</v>
      </c>
    </row>
    <row r="76" spans="1:12" ht="15">
      <c r="A76" s="88" t="s">
        <v>1385</v>
      </c>
      <c r="B76" s="87" t="s">
        <v>1354</v>
      </c>
      <c r="C76" s="81">
        <v>4</v>
      </c>
      <c r="D76" s="108">
        <v>0.0157523976488137</v>
      </c>
      <c r="E76" s="108">
        <v>1.5237464668115646</v>
      </c>
      <c r="F76" s="81" t="s">
        <v>1321</v>
      </c>
      <c r="G76" s="81" t="b">
        <v>0</v>
      </c>
      <c r="H76" s="81" t="b">
        <v>0</v>
      </c>
      <c r="I76" s="81" t="b">
        <v>0</v>
      </c>
      <c r="J76" s="81" t="b">
        <v>0</v>
      </c>
      <c r="K76" s="81" t="b">
        <v>0</v>
      </c>
      <c r="L76" s="81" t="b">
        <v>0</v>
      </c>
    </row>
    <row r="77" spans="1:12" ht="15">
      <c r="A77" s="88" t="s">
        <v>1364</v>
      </c>
      <c r="B77" s="87" t="s">
        <v>1374</v>
      </c>
      <c r="C77" s="81">
        <v>3</v>
      </c>
      <c r="D77" s="108">
        <v>0.021421638523758606</v>
      </c>
      <c r="E77" s="108">
        <v>1.046625212091902</v>
      </c>
      <c r="F77" s="81" t="s">
        <v>1321</v>
      </c>
      <c r="G77" s="81" t="b">
        <v>0</v>
      </c>
      <c r="H77" s="81" t="b">
        <v>0</v>
      </c>
      <c r="I77" s="81" t="b">
        <v>0</v>
      </c>
      <c r="J77" s="81" t="b">
        <v>0</v>
      </c>
      <c r="K77" s="81" t="b">
        <v>0</v>
      </c>
      <c r="L77" s="81" t="b">
        <v>0</v>
      </c>
    </row>
    <row r="78" spans="1:12" ht="15">
      <c r="A78" s="88" t="s">
        <v>1374</v>
      </c>
      <c r="B78" s="87" t="s">
        <v>1364</v>
      </c>
      <c r="C78" s="81">
        <v>3</v>
      </c>
      <c r="D78" s="108">
        <v>0.021421638523758606</v>
      </c>
      <c r="E78" s="108">
        <v>1.0765884354693454</v>
      </c>
      <c r="F78" s="81" t="s">
        <v>1321</v>
      </c>
      <c r="G78" s="81" t="b">
        <v>0</v>
      </c>
      <c r="H78" s="81" t="b">
        <v>0</v>
      </c>
      <c r="I78" s="81" t="b">
        <v>0</v>
      </c>
      <c r="J78" s="81" t="b">
        <v>0</v>
      </c>
      <c r="K78" s="81" t="b">
        <v>0</v>
      </c>
      <c r="L78" s="81" t="b">
        <v>0</v>
      </c>
    </row>
    <row r="79" spans="1:12" ht="15">
      <c r="A79" s="88" t="s">
        <v>1498</v>
      </c>
      <c r="B79" s="87" t="s">
        <v>1365</v>
      </c>
      <c r="C79" s="81">
        <v>2</v>
      </c>
      <c r="D79" s="108">
        <v>0.011078645586789629</v>
      </c>
      <c r="E79" s="108">
        <v>1.745595216427921</v>
      </c>
      <c r="F79" s="81" t="s">
        <v>1321</v>
      </c>
      <c r="G79" s="81" t="b">
        <v>0</v>
      </c>
      <c r="H79" s="81" t="b">
        <v>0</v>
      </c>
      <c r="I79" s="81" t="b">
        <v>0</v>
      </c>
      <c r="J79" s="81" t="b">
        <v>0</v>
      </c>
      <c r="K79" s="81" t="b">
        <v>0</v>
      </c>
      <c r="L79" s="81" t="b">
        <v>0</v>
      </c>
    </row>
    <row r="80" spans="1:12" ht="15">
      <c r="A80" s="88" t="s">
        <v>1442</v>
      </c>
      <c r="B80" s="87" t="s">
        <v>1127</v>
      </c>
      <c r="C80" s="81">
        <v>2</v>
      </c>
      <c r="D80" s="108">
        <v>0.011078645586789629</v>
      </c>
      <c r="E80" s="108">
        <v>1.1435352250999584</v>
      </c>
      <c r="F80" s="81" t="s">
        <v>1321</v>
      </c>
      <c r="G80" s="81" t="b">
        <v>1</v>
      </c>
      <c r="H80" s="81" t="b">
        <v>0</v>
      </c>
      <c r="I80" s="81" t="b">
        <v>0</v>
      </c>
      <c r="J80" s="81" t="b">
        <v>0</v>
      </c>
      <c r="K80" s="81" t="b">
        <v>0</v>
      </c>
      <c r="L80" s="81" t="b">
        <v>0</v>
      </c>
    </row>
    <row r="81" spans="1:12" ht="15">
      <c r="A81" s="88" t="s">
        <v>1492</v>
      </c>
      <c r="B81" s="87" t="s">
        <v>1374</v>
      </c>
      <c r="C81" s="81">
        <v>2</v>
      </c>
      <c r="D81" s="108">
        <v>0.014281092349172405</v>
      </c>
      <c r="E81" s="108">
        <v>1.5237464668115646</v>
      </c>
      <c r="F81" s="81" t="s">
        <v>1321</v>
      </c>
      <c r="G81" s="81" t="b">
        <v>0</v>
      </c>
      <c r="H81" s="81" t="b">
        <v>1</v>
      </c>
      <c r="I81" s="81" t="b">
        <v>0</v>
      </c>
      <c r="J81" s="81" t="b">
        <v>0</v>
      </c>
      <c r="K81" s="81" t="b">
        <v>0</v>
      </c>
      <c r="L81" s="81" t="b">
        <v>0</v>
      </c>
    </row>
    <row r="82" spans="1:12" ht="15">
      <c r="A82" s="88" t="s">
        <v>1443</v>
      </c>
      <c r="B82" s="87" t="s">
        <v>1442</v>
      </c>
      <c r="C82" s="81">
        <v>2</v>
      </c>
      <c r="D82" s="108">
        <v>0.014281092349172405</v>
      </c>
      <c r="E82" s="108">
        <v>1.745595216427921</v>
      </c>
      <c r="F82" s="81" t="s">
        <v>1321</v>
      </c>
      <c r="G82" s="81" t="b">
        <v>0</v>
      </c>
      <c r="H82" s="81" t="b">
        <v>0</v>
      </c>
      <c r="I82" s="81" t="b">
        <v>0</v>
      </c>
      <c r="J82" s="81" t="b">
        <v>1</v>
      </c>
      <c r="K82" s="81" t="b">
        <v>0</v>
      </c>
      <c r="L82" s="81" t="b">
        <v>0</v>
      </c>
    </row>
    <row r="83" spans="1:12" ht="15">
      <c r="A83" s="88" t="s">
        <v>1508</v>
      </c>
      <c r="B83" s="87" t="s">
        <v>1414</v>
      </c>
      <c r="C83" s="81">
        <v>2</v>
      </c>
      <c r="D83" s="108">
        <v>0.03039000018852256</v>
      </c>
      <c r="E83" s="108">
        <v>1.3117538610557542</v>
      </c>
      <c r="F83" s="81" t="s">
        <v>1324</v>
      </c>
      <c r="G83" s="81" t="b">
        <v>0</v>
      </c>
      <c r="H83" s="81" t="b">
        <v>0</v>
      </c>
      <c r="I83" s="81" t="b">
        <v>0</v>
      </c>
      <c r="J83" s="81" t="b">
        <v>0</v>
      </c>
      <c r="K83" s="81" t="b">
        <v>0</v>
      </c>
      <c r="L83" s="81" t="b">
        <v>0</v>
      </c>
    </row>
    <row r="84" spans="1:12" ht="15">
      <c r="A84" s="88" t="s">
        <v>1389</v>
      </c>
      <c r="B84" s="87" t="s">
        <v>1476</v>
      </c>
      <c r="C84" s="81">
        <v>2</v>
      </c>
      <c r="D84" s="108">
        <v>0.03039000018852256</v>
      </c>
      <c r="E84" s="108">
        <v>1.0107238653917732</v>
      </c>
      <c r="F84" s="81" t="s">
        <v>1324</v>
      </c>
      <c r="G84" s="81" t="b">
        <v>0</v>
      </c>
      <c r="H84" s="81" t="b">
        <v>0</v>
      </c>
      <c r="I84" s="81" t="b">
        <v>0</v>
      </c>
      <c r="J84" s="81" t="b">
        <v>0</v>
      </c>
      <c r="K84" s="81" t="b">
        <v>0</v>
      </c>
      <c r="L84" s="81" t="b">
        <v>0</v>
      </c>
    </row>
    <row r="85" spans="1:12" ht="15">
      <c r="A85" s="88" t="s">
        <v>1414</v>
      </c>
      <c r="B85" s="87" t="s">
        <v>1389</v>
      </c>
      <c r="C85" s="81">
        <v>2</v>
      </c>
      <c r="D85" s="108">
        <v>0.03039000018852256</v>
      </c>
      <c r="E85" s="108">
        <v>1.0107238653917732</v>
      </c>
      <c r="F85" s="81" t="s">
        <v>1324</v>
      </c>
      <c r="G85" s="81" t="b">
        <v>0</v>
      </c>
      <c r="H85" s="81" t="b">
        <v>0</v>
      </c>
      <c r="I85" s="81" t="b">
        <v>0</v>
      </c>
      <c r="J85" s="81" t="b">
        <v>0</v>
      </c>
      <c r="K85" s="81" t="b">
        <v>0</v>
      </c>
      <c r="L85" s="81" t="b">
        <v>0</v>
      </c>
    </row>
    <row r="86" spans="1:12" ht="15">
      <c r="A86" s="88" t="s">
        <v>1476</v>
      </c>
      <c r="B86" s="87" t="s">
        <v>1452</v>
      </c>
      <c r="C86" s="81">
        <v>2</v>
      </c>
      <c r="D86" s="108">
        <v>0.03039000018852256</v>
      </c>
      <c r="E86" s="108">
        <v>1.3117538610557542</v>
      </c>
      <c r="F86" s="81" t="s">
        <v>1324</v>
      </c>
      <c r="G86" s="81" t="b">
        <v>0</v>
      </c>
      <c r="H86" s="81" t="b">
        <v>0</v>
      </c>
      <c r="I86" s="81" t="b">
        <v>0</v>
      </c>
      <c r="J86" s="81" t="b">
        <v>0</v>
      </c>
      <c r="K86" s="81" t="b">
        <v>0</v>
      </c>
      <c r="L86" s="81" t="b">
        <v>0</v>
      </c>
    </row>
    <row r="87" spans="1:12" ht="15">
      <c r="A87" s="88" t="s">
        <v>1456</v>
      </c>
      <c r="B87" s="87" t="s">
        <v>1504</v>
      </c>
      <c r="C87" s="81">
        <v>2</v>
      </c>
      <c r="D87" s="108">
        <v>0.03039000018852256</v>
      </c>
      <c r="E87" s="108">
        <v>1.3117538610557542</v>
      </c>
      <c r="F87" s="81" t="s">
        <v>1324</v>
      </c>
      <c r="G87" s="81" t="b">
        <v>0</v>
      </c>
      <c r="H87" s="81" t="b">
        <v>0</v>
      </c>
      <c r="I87" s="81" t="b">
        <v>0</v>
      </c>
      <c r="J87" s="81" t="b">
        <v>0</v>
      </c>
      <c r="K87" s="81" t="b">
        <v>0</v>
      </c>
      <c r="L87" s="81" t="b">
        <v>0</v>
      </c>
    </row>
    <row r="88" spans="1:12" ht="15">
      <c r="A88" s="88" t="s">
        <v>1452</v>
      </c>
      <c r="B88" s="87" t="s">
        <v>1456</v>
      </c>
      <c r="C88" s="81">
        <v>2</v>
      </c>
      <c r="D88" s="108">
        <v>0.03039000018852256</v>
      </c>
      <c r="E88" s="108">
        <v>1.3117538610557542</v>
      </c>
      <c r="F88" s="81" t="s">
        <v>1324</v>
      </c>
      <c r="G88" s="81" t="b">
        <v>0</v>
      </c>
      <c r="H88" s="81" t="b">
        <v>0</v>
      </c>
      <c r="I88" s="81" t="b">
        <v>0</v>
      </c>
      <c r="J88" s="81" t="b">
        <v>0</v>
      </c>
      <c r="K88" s="81" t="b">
        <v>0</v>
      </c>
      <c r="L88"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2023-09-18T08:46:51Z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